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cn00qubc01537\j\GRP\E\3\C\20 AFFAIRES COURANTES\205 MSSS\Demande d'accès à l'information\2021-2022\DAI 2021-2022.367_accès-attente\"/>
    </mc:Choice>
  </mc:AlternateContent>
  <xr:revisionPtr revIDLastSave="0" documentId="13_ncr:1_{9F6967A2-4C75-43D8-A616-2998EBB725B3}" xr6:coauthVersionLast="46" xr6:coauthVersionMax="46" xr10:uidLastSave="{00000000-0000-0000-0000-000000000000}"/>
  <bookViews>
    <workbookView xWindow="-110" yWindow="-110" windowWidth="19420" windowHeight="9800" firstSheet="7" activeTab="9" xr2:uid="{01A9C5B2-66CE-4999-A89F-0BE3D89522FD}"/>
  </bookViews>
  <sheets>
    <sheet name="Q1 Nbr de pers en att. éval" sheetId="1" r:id="rId1"/>
    <sheet name="Q2 Temps d'att. moyen" sheetId="2" r:id="rId2"/>
    <sheet name="Q3 Nbr pers. att. serv.1ère TSA" sheetId="3" r:id="rId3"/>
    <sheet name="Q4 Temps d'att. 1ère TSA" sheetId="4" r:id="rId4"/>
    <sheet name="Q5 Nbr pers. att. 2ième TSA" sheetId="11" r:id="rId5"/>
    <sheet name="Q6 Temps d'att. 2ième TSA" sheetId="6" r:id="rId6"/>
    <sheet name="Q7 Nbr pers. att. serv. DITSADP" sheetId="10" r:id="rId7"/>
    <sheet name="Q8 Temps att. serv. DITSADP" sheetId="8" r:id="rId8"/>
    <sheet name="Q9 Nbr pers. en att. CRDITED" sheetId="9" r:id="rId9"/>
    <sheet name="Q10 Temps att. CRDITED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1" l="1"/>
  <c r="E22" i="11"/>
  <c r="F22" i="11"/>
  <c r="G22" i="11"/>
  <c r="H22" i="11"/>
  <c r="I22" i="11"/>
  <c r="J22" i="11"/>
  <c r="K22" i="11"/>
  <c r="C22" i="11"/>
  <c r="D21" i="6"/>
  <c r="E21" i="6"/>
  <c r="F21" i="6"/>
  <c r="G21" i="6"/>
  <c r="H21" i="6"/>
  <c r="I21" i="6"/>
  <c r="J21" i="6"/>
  <c r="K21" i="6"/>
  <c r="K20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4" i="6"/>
  <c r="C21" i="6"/>
  <c r="K23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6" i="12"/>
  <c r="D23" i="12"/>
  <c r="E23" i="12"/>
  <c r="F23" i="12"/>
  <c r="G23" i="12"/>
  <c r="H23" i="12"/>
  <c r="I23" i="12"/>
  <c r="J23" i="12"/>
  <c r="C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F22" i="12"/>
  <c r="F21" i="12"/>
  <c r="F20" i="12"/>
  <c r="F19" i="12"/>
  <c r="F18" i="12"/>
  <c r="F17" i="12"/>
  <c r="F15" i="12"/>
  <c r="F14" i="12"/>
  <c r="F13" i="12"/>
  <c r="F12" i="12"/>
  <c r="F11" i="12"/>
  <c r="F10" i="12"/>
  <c r="F9" i="12"/>
  <c r="F8" i="12"/>
  <c r="F7" i="12"/>
  <c r="F6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C22" i="12"/>
  <c r="C21" i="12"/>
  <c r="C20" i="12"/>
  <c r="C19" i="12"/>
  <c r="C18" i="12"/>
  <c r="C16" i="12"/>
  <c r="C15" i="12"/>
  <c r="C14" i="12"/>
  <c r="C13" i="12"/>
  <c r="C12" i="12"/>
  <c r="C11" i="12"/>
  <c r="C9" i="12"/>
  <c r="C7" i="12"/>
  <c r="C6" i="12"/>
  <c r="H22" i="12"/>
  <c r="H21" i="12"/>
  <c r="H19" i="12"/>
  <c r="H14" i="12"/>
  <c r="H13" i="12"/>
  <c r="H12" i="12"/>
  <c r="H11" i="12"/>
  <c r="H10" i="12"/>
  <c r="I13" i="12"/>
  <c r="D24" i="9"/>
  <c r="E24" i="9"/>
  <c r="F24" i="9"/>
  <c r="G24" i="9"/>
  <c r="H24" i="9"/>
  <c r="I24" i="9"/>
  <c r="J24" i="9"/>
  <c r="K24" i="9"/>
  <c r="C24" i="9"/>
  <c r="H23" i="9"/>
  <c r="H13" i="9"/>
  <c r="G23" i="9"/>
  <c r="K23" i="9" s="1"/>
  <c r="G22" i="9"/>
  <c r="G21" i="9"/>
  <c r="G20" i="9"/>
  <c r="G19" i="9"/>
  <c r="G15" i="9"/>
  <c r="G14" i="9"/>
  <c r="G13" i="9"/>
  <c r="K13" i="9" s="1"/>
  <c r="G12" i="9"/>
  <c r="G11" i="9"/>
  <c r="G10" i="9"/>
  <c r="F23" i="9"/>
  <c r="F22" i="9"/>
  <c r="F21" i="9"/>
  <c r="F20" i="9"/>
  <c r="F19" i="9"/>
  <c r="F14" i="9"/>
  <c r="F13" i="9"/>
  <c r="F12" i="9"/>
  <c r="F11" i="9"/>
  <c r="F10" i="9"/>
  <c r="F9" i="9"/>
  <c r="E23" i="9"/>
  <c r="E22" i="9"/>
  <c r="E21" i="9"/>
  <c r="E20" i="9"/>
  <c r="E19" i="9"/>
  <c r="E15" i="9"/>
  <c r="E14" i="9"/>
  <c r="E13" i="9"/>
  <c r="E12" i="9"/>
  <c r="E11" i="9"/>
  <c r="E10" i="9"/>
  <c r="K10" i="9" s="1"/>
  <c r="E9" i="9"/>
  <c r="E6" i="9"/>
  <c r="D23" i="9"/>
  <c r="D22" i="9"/>
  <c r="D21" i="9"/>
  <c r="D20" i="9"/>
  <c r="D19" i="9"/>
  <c r="D16" i="9"/>
  <c r="D15" i="9"/>
  <c r="D14" i="9"/>
  <c r="D13" i="9"/>
  <c r="D12" i="9"/>
  <c r="D11" i="9"/>
  <c r="D10" i="9"/>
  <c r="D9" i="9"/>
  <c r="D8" i="9"/>
  <c r="K8" i="9" s="1"/>
  <c r="C23" i="9"/>
  <c r="C22" i="9"/>
  <c r="C21" i="9"/>
  <c r="C20" i="9"/>
  <c r="C19" i="9"/>
  <c r="C16" i="9"/>
  <c r="C15" i="9"/>
  <c r="C14" i="9"/>
  <c r="C13" i="9"/>
  <c r="C12" i="9"/>
  <c r="C11" i="9"/>
  <c r="G8" i="9"/>
  <c r="F8" i="9"/>
  <c r="E8" i="9"/>
  <c r="D7" i="9"/>
  <c r="C7" i="9"/>
  <c r="K7" i="9" s="1"/>
  <c r="K11" i="9"/>
  <c r="K15" i="9"/>
  <c r="K17" i="9"/>
  <c r="K18" i="9"/>
  <c r="K19" i="9"/>
  <c r="K22" i="9"/>
  <c r="K6" i="9"/>
  <c r="D6" i="9"/>
  <c r="C6" i="9"/>
  <c r="J24" i="8"/>
  <c r="J20" i="8"/>
  <c r="J19" i="8"/>
  <c r="J18" i="8"/>
  <c r="J9" i="8"/>
  <c r="J8" i="8"/>
  <c r="I24" i="8"/>
  <c r="I23" i="8"/>
  <c r="I21" i="8"/>
  <c r="I20" i="8"/>
  <c r="I19" i="8"/>
  <c r="I16" i="8"/>
  <c r="I14" i="8"/>
  <c r="I13" i="8"/>
  <c r="I9" i="8"/>
  <c r="I8" i="8"/>
  <c r="I6" i="8"/>
  <c r="H24" i="8"/>
  <c r="H23" i="8"/>
  <c r="H22" i="8"/>
  <c r="H21" i="8"/>
  <c r="H20" i="8"/>
  <c r="H19" i="8"/>
  <c r="H18" i="8"/>
  <c r="H17" i="8"/>
  <c r="H16" i="8"/>
  <c r="H14" i="8"/>
  <c r="H13" i="8"/>
  <c r="H10" i="8"/>
  <c r="H9" i="8"/>
  <c r="H8" i="8"/>
  <c r="H6" i="8"/>
  <c r="H12" i="8"/>
  <c r="G24" i="8"/>
  <c r="G23" i="8"/>
  <c r="G22" i="8"/>
  <c r="G21" i="8"/>
  <c r="G20" i="8"/>
  <c r="G19" i="8"/>
  <c r="G18" i="8"/>
  <c r="G17" i="8"/>
  <c r="G16" i="8"/>
  <c r="G14" i="8"/>
  <c r="G13" i="8"/>
  <c r="G12" i="8"/>
  <c r="G10" i="8"/>
  <c r="G9" i="8"/>
  <c r="G8" i="8"/>
  <c r="G7" i="8"/>
  <c r="G6" i="8"/>
  <c r="F24" i="8"/>
  <c r="F23" i="8"/>
  <c r="F22" i="8"/>
  <c r="F21" i="8"/>
  <c r="F20" i="8"/>
  <c r="F19" i="8"/>
  <c r="F18" i="8"/>
  <c r="K18" i="8" s="1"/>
  <c r="F17" i="8"/>
  <c r="F16" i="8"/>
  <c r="F14" i="8"/>
  <c r="F13" i="8"/>
  <c r="F12" i="8"/>
  <c r="F10" i="8"/>
  <c r="F9" i="8"/>
  <c r="F8" i="8"/>
  <c r="F7" i="8"/>
  <c r="F6" i="8"/>
  <c r="E24" i="8"/>
  <c r="E23" i="8"/>
  <c r="E22" i="8"/>
  <c r="E21" i="8"/>
  <c r="E20" i="8"/>
  <c r="E19" i="8"/>
  <c r="E18" i="8"/>
  <c r="E17" i="8"/>
  <c r="E16" i="8"/>
  <c r="E14" i="8"/>
  <c r="E13" i="8"/>
  <c r="E12" i="8"/>
  <c r="E10" i="8"/>
  <c r="E9" i="8"/>
  <c r="E8" i="8"/>
  <c r="E7" i="8"/>
  <c r="E6" i="8"/>
  <c r="D24" i="8"/>
  <c r="D23" i="8"/>
  <c r="D22" i="8"/>
  <c r="D21" i="8"/>
  <c r="D20" i="8"/>
  <c r="D19" i="8"/>
  <c r="D18" i="8"/>
  <c r="D17" i="8"/>
  <c r="D16" i="8"/>
  <c r="D14" i="8"/>
  <c r="D13" i="8"/>
  <c r="D12" i="8"/>
  <c r="D10" i="8"/>
  <c r="K10" i="8" s="1"/>
  <c r="D9" i="8"/>
  <c r="D8" i="8"/>
  <c r="D7" i="8"/>
  <c r="D6" i="8"/>
  <c r="K11" i="8"/>
  <c r="K15" i="8"/>
  <c r="C24" i="8"/>
  <c r="C23" i="8"/>
  <c r="C22" i="8"/>
  <c r="K22" i="8" s="1"/>
  <c r="C21" i="8"/>
  <c r="C20" i="8"/>
  <c r="C19" i="8"/>
  <c r="C18" i="8"/>
  <c r="C17" i="8"/>
  <c r="C16" i="8"/>
  <c r="C14" i="8"/>
  <c r="C13" i="8"/>
  <c r="C12" i="8"/>
  <c r="C10" i="8"/>
  <c r="C9" i="8"/>
  <c r="C8" i="8"/>
  <c r="C7" i="8"/>
  <c r="K7" i="8" s="1"/>
  <c r="C6" i="8"/>
  <c r="C25" i="8" s="1"/>
  <c r="D26" i="10"/>
  <c r="E26" i="10"/>
  <c r="F26" i="10"/>
  <c r="G26" i="10"/>
  <c r="H26" i="10"/>
  <c r="I26" i="10"/>
  <c r="J26" i="10"/>
  <c r="K26" i="10"/>
  <c r="C26" i="10"/>
  <c r="J21" i="10"/>
  <c r="J19" i="10"/>
  <c r="J18" i="10"/>
  <c r="J9" i="10"/>
  <c r="J7" i="10"/>
  <c r="J6" i="10"/>
  <c r="I25" i="10"/>
  <c r="I24" i="10"/>
  <c r="I22" i="10"/>
  <c r="I21" i="10"/>
  <c r="I19" i="10"/>
  <c r="I16" i="10"/>
  <c r="I14" i="10"/>
  <c r="I13" i="10"/>
  <c r="I9" i="10"/>
  <c r="H25" i="10"/>
  <c r="H24" i="10"/>
  <c r="H23" i="10"/>
  <c r="H22" i="10"/>
  <c r="H21" i="10"/>
  <c r="H19" i="10"/>
  <c r="H18" i="10"/>
  <c r="H17" i="10"/>
  <c r="H16" i="10"/>
  <c r="H14" i="10"/>
  <c r="H13" i="10"/>
  <c r="H12" i="10"/>
  <c r="H10" i="10"/>
  <c r="H9" i="10"/>
  <c r="G25" i="10"/>
  <c r="G24" i="10"/>
  <c r="G23" i="10"/>
  <c r="G22" i="10"/>
  <c r="G21" i="10"/>
  <c r="G19" i="10"/>
  <c r="G18" i="10"/>
  <c r="G17" i="10"/>
  <c r="G16" i="10"/>
  <c r="G14" i="10"/>
  <c r="G13" i="10"/>
  <c r="G12" i="10"/>
  <c r="G10" i="10"/>
  <c r="G9" i="10"/>
  <c r="F25" i="10"/>
  <c r="F24" i="10"/>
  <c r="F23" i="10"/>
  <c r="F22" i="10"/>
  <c r="F21" i="10"/>
  <c r="F19" i="10"/>
  <c r="F18" i="10"/>
  <c r="F17" i="10"/>
  <c r="F16" i="10"/>
  <c r="F14" i="10"/>
  <c r="F13" i="10"/>
  <c r="F12" i="10"/>
  <c r="F10" i="10"/>
  <c r="F9" i="10"/>
  <c r="E25" i="10"/>
  <c r="E24" i="10"/>
  <c r="E23" i="10"/>
  <c r="E22" i="10"/>
  <c r="E21" i="10"/>
  <c r="E19" i="10"/>
  <c r="E18" i="10"/>
  <c r="E17" i="10"/>
  <c r="E16" i="10"/>
  <c r="E14" i="10"/>
  <c r="E13" i="10"/>
  <c r="E12" i="10"/>
  <c r="E10" i="10"/>
  <c r="E9" i="10"/>
  <c r="D25" i="10"/>
  <c r="D24" i="10"/>
  <c r="D23" i="10"/>
  <c r="D22" i="10"/>
  <c r="D21" i="10"/>
  <c r="D19" i="10"/>
  <c r="D18" i="10"/>
  <c r="D17" i="10"/>
  <c r="D16" i="10"/>
  <c r="D14" i="10"/>
  <c r="D13" i="10"/>
  <c r="D12" i="10"/>
  <c r="D10" i="10"/>
  <c r="D9" i="10"/>
  <c r="C25" i="10"/>
  <c r="C24" i="10"/>
  <c r="C23" i="10"/>
  <c r="C22" i="10"/>
  <c r="C21" i="10"/>
  <c r="K11" i="10"/>
  <c r="K12" i="10"/>
  <c r="K15" i="10"/>
  <c r="K20" i="10"/>
  <c r="C19" i="10"/>
  <c r="K19" i="10" s="1"/>
  <c r="C18" i="10"/>
  <c r="C17" i="10"/>
  <c r="C16" i="10"/>
  <c r="C14" i="10"/>
  <c r="C13" i="10"/>
  <c r="C12" i="10"/>
  <c r="C10" i="10"/>
  <c r="C9" i="10"/>
  <c r="J8" i="10"/>
  <c r="I8" i="10"/>
  <c r="H8" i="10"/>
  <c r="G8" i="10"/>
  <c r="K8" i="10" s="1"/>
  <c r="F8" i="10"/>
  <c r="E8" i="10"/>
  <c r="D8" i="10"/>
  <c r="C8" i="10"/>
  <c r="H7" i="10"/>
  <c r="G7" i="10"/>
  <c r="F7" i="10"/>
  <c r="E7" i="10"/>
  <c r="D7" i="10"/>
  <c r="K7" i="10" s="1"/>
  <c r="C7" i="10"/>
  <c r="I6" i="10"/>
  <c r="H6" i="10"/>
  <c r="G6" i="10"/>
  <c r="F6" i="10"/>
  <c r="E6" i="10"/>
  <c r="K6" i="10" s="1"/>
  <c r="D6" i="10"/>
  <c r="C6" i="10"/>
  <c r="K21" i="9" l="1"/>
  <c r="K20" i="9"/>
  <c r="K14" i="9"/>
  <c r="K12" i="9"/>
  <c r="K9" i="9"/>
  <c r="K16" i="9"/>
  <c r="J25" i="8"/>
  <c r="I25" i="8"/>
  <c r="K23" i="8"/>
  <c r="K9" i="8"/>
  <c r="K8" i="8"/>
  <c r="K12" i="8"/>
  <c r="K21" i="8"/>
  <c r="K19" i="8"/>
  <c r="K24" i="8"/>
  <c r="H25" i="8"/>
  <c r="K14" i="8"/>
  <c r="G25" i="8"/>
  <c r="K16" i="8"/>
  <c r="K13" i="8"/>
  <c r="F25" i="8"/>
  <c r="K20" i="8"/>
  <c r="K17" i="8"/>
  <c r="E25" i="8"/>
  <c r="K6" i="8"/>
  <c r="D25" i="8"/>
  <c r="K14" i="10"/>
  <c r="K9" i="10"/>
  <c r="K18" i="10"/>
  <c r="K17" i="10"/>
  <c r="K22" i="10"/>
  <c r="K24" i="10"/>
  <c r="K25" i="10"/>
  <c r="K13" i="10"/>
  <c r="K16" i="10"/>
  <c r="K23" i="10"/>
  <c r="K21" i="10"/>
  <c r="K10" i="10"/>
  <c r="K25" i="8" l="1"/>
</calcChain>
</file>

<file path=xl/sharedStrings.xml><?xml version="1.0" encoding="utf-8"?>
<sst xmlns="http://schemas.openxmlformats.org/spreadsheetml/2006/main" count="202" uniqueCount="45">
  <si>
    <t xml:space="preserve"> </t>
  </si>
  <si>
    <t>Donnée non disponible.</t>
  </si>
  <si>
    <t>RSSS</t>
  </si>
  <si>
    <t>NomEtablissement</t>
  </si>
  <si>
    <t>0-4 ans</t>
  </si>
  <si>
    <t>5 à 11 ans</t>
  </si>
  <si>
    <t>12 à 17 ans</t>
  </si>
  <si>
    <t>18 à 21 ans</t>
  </si>
  <si>
    <t>22 à 44 ans</t>
  </si>
  <si>
    <t>45 à 64 ans</t>
  </si>
  <si>
    <t>65 à 74 ans</t>
  </si>
  <si>
    <t>75 ans et plus</t>
  </si>
  <si>
    <t>Total</t>
  </si>
  <si>
    <t>CISSS du Bas-Saint-Laurent</t>
  </si>
  <si>
    <t>CIUSSS du Saguenay–Lac-Saint-Jean</t>
  </si>
  <si>
    <t>CIUSSS de la Capitale-Nationale</t>
  </si>
  <si>
    <t>CIUSSS de la Mauricie-et-du-Centre-du-Québec</t>
  </si>
  <si>
    <t>CIUSSS de l'Estrie - CHUS</t>
  </si>
  <si>
    <t>CIUSSS de l'Ouest-de-l'Île-de-Montréal</t>
  </si>
  <si>
    <t>CIUSSS du Centre-Ouest-de-l'Île-de-Montréal</t>
  </si>
  <si>
    <t>CIUSSS du Centre-Sud-de-l'Île-de-Montréal</t>
  </si>
  <si>
    <t>CISSS de l'Outaouais</t>
  </si>
  <si>
    <t>CISSS de l'Abitibi-Témiscamingue</t>
  </si>
  <si>
    <t>CISSS de la Côte-Nord</t>
  </si>
  <si>
    <t>CISSS de la Gaspésie</t>
  </si>
  <si>
    <t>CISSS des Îles</t>
  </si>
  <si>
    <t>CISSS de Chaudière-Appalaches</t>
  </si>
  <si>
    <t>CISSS de Laval</t>
  </si>
  <si>
    <t>CISSS de Lanaudière</t>
  </si>
  <si>
    <t>CISSS des Laurentides</t>
  </si>
  <si>
    <t>CISSS de la Montérégie-Ouest</t>
  </si>
  <si>
    <t>Référence: AS-485 (2019-2020)</t>
  </si>
  <si>
    <t>CHU Sainte-Justine</t>
  </si>
  <si>
    <t>Villa Médica Inc.</t>
  </si>
  <si>
    <t>Q1: Combien y a-t-il de personnes en attente d’une évaluation et/ou d’un diagnostic de TSA par groupe d’âge et par région sociosanitaire?</t>
  </si>
  <si>
    <t>Q2: Quel est le temps d’attente moyen pour obtenir un tel service par groupe d’âge et par région sociosanitaire?</t>
  </si>
  <si>
    <t>Q3: Combien y a-t-il de personnes en attente pour obtenir des services de première ligne pour un TSA par groupe d’âge et par région sociosanitaire?</t>
  </si>
  <si>
    <t>Q4: Quel est le temps d’attente moyen pour obtenir des services de première ligne pour un TSA par groupe d’âge et par région sociosanitaire?</t>
  </si>
  <si>
    <t>Q5: Combien y a-t-il de personnes en attente pour obtenir des services de deuxième ligne pour un TSA par groupe d’âge et par région sociosanitaire?</t>
  </si>
  <si>
    <t>DGAPA (volet I-CLSC)</t>
  </si>
  <si>
    <t>Q7: Combien y a-t-il de personnes en attente de services du DI-TSA-DP (CRDP et CRDITED) par groupe d’âge et par région sociosanitaire?</t>
  </si>
  <si>
    <t>Q9: Combien y a-t-il de personnes en attente de services du CRDITED (DI-TSA) par groupe d’âge et par région sociosanitaire?</t>
  </si>
  <si>
    <t>Q6: Quel est le temps d’attente moyen (en jours) pour obtenir des services de deuxième ligne pour un TSA (CRDITED) par groupe d’âge et par région sociosanitaire?</t>
  </si>
  <si>
    <t>Q8: Quel est le temps d’attente moyen (en jour) pour obtenir les services du DI-TSA-DP (CRDP et CRDITED) par groupe d’âge et par région sociosanitaire?</t>
  </si>
  <si>
    <t>Q10 : Quel est le temps d'attente moyen (en jours) pour obtenir des services du CRDITED (DI-TSA) par groupe d'âge et par région sociosanitaire?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</si>
</sst>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62E5F-9CB5-4C3F-AF36-77E007B449FF}">
  <sheetPr>
    <tabColor rgb="FFFF0000"/>
  </sheetPr>
  <dimension ref="B1:M4"/>
  <sheetViews>
    <sheetView topLeftCell="B1" workbookViewId="0">
      <selection activeCell="B1" sqref="B1:M1"/>
    </sheetView>
  </sheetViews>
  <sheetFormatPr baseColWidth="10" defaultRowHeight="14.5" x14ac:dyDescent="0.35"/>
  <sheetData>
    <row r="1" spans="2:13" x14ac:dyDescent="0.35">
      <c r="B1" s="6" t="s">
        <v>34</v>
      </c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3" spans="2:13" x14ac:dyDescent="0.35">
      <c r="B3" t="s">
        <v>1</v>
      </c>
    </row>
    <row r="4" spans="2:13" x14ac:dyDescent="0.35">
      <c r="B4" t="s">
        <v>0</v>
      </c>
    </row>
  </sheetData>
  <mergeCells count="1">
    <mergeCell ref="B1:M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3EF5F-D14B-404A-AB80-517C41FB7640}">
  <dimension ref="A1:K46"/>
  <sheetViews>
    <sheetView tabSelected="1" workbookViewId="0">
      <selection sqref="A1:J1"/>
    </sheetView>
  </sheetViews>
  <sheetFormatPr baseColWidth="10" defaultRowHeight="14.5" x14ac:dyDescent="0.35"/>
  <cols>
    <col min="2" max="2" width="52.81640625" customWidth="1"/>
    <col min="10" max="10" width="12.453125" customWidth="1"/>
  </cols>
  <sheetData>
    <row r="1" spans="1:11" x14ac:dyDescent="0.35">
      <c r="A1" s="12" t="s">
        <v>44</v>
      </c>
      <c r="B1" s="13"/>
      <c r="C1" s="13"/>
      <c r="D1" s="13"/>
      <c r="E1" s="13"/>
      <c r="F1" s="13"/>
      <c r="G1" s="13"/>
      <c r="H1" s="13"/>
      <c r="I1" s="13"/>
      <c r="J1" s="14"/>
    </row>
    <row r="3" spans="1:11" x14ac:dyDescent="0.35">
      <c r="A3" s="4"/>
    </row>
    <row r="5" spans="1:11" x14ac:dyDescent="0.3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x14ac:dyDescent="0.35">
      <c r="A6" s="3">
        <v>1</v>
      </c>
      <c r="B6" s="4" t="s">
        <v>13</v>
      </c>
      <c r="C6">
        <f>184.7+44</f>
        <v>228.7</v>
      </c>
      <c r="D6">
        <f>78+74.9</f>
        <v>152.9</v>
      </c>
      <c r="E6">
        <v>91.5</v>
      </c>
      <c r="F6">
        <f>232+233</f>
        <v>465</v>
      </c>
      <c r="G6">
        <v>189</v>
      </c>
      <c r="H6">
        <v>23.5</v>
      </c>
      <c r="I6">
        <v>160</v>
      </c>
      <c r="J6">
        <v>0</v>
      </c>
      <c r="K6" s="4">
        <f>SUM(C6:J6)</f>
        <v>1310.5999999999999</v>
      </c>
    </row>
    <row r="7" spans="1:11" x14ac:dyDescent="0.35">
      <c r="A7" s="3">
        <v>2</v>
      </c>
      <c r="B7" s="4" t="s">
        <v>14</v>
      </c>
      <c r="C7">
        <f>161.5+78</f>
        <v>239.5</v>
      </c>
      <c r="D7">
        <f>183.3+194.3</f>
        <v>377.6</v>
      </c>
      <c r="E7">
        <f>172.6+166</f>
        <v>338.6</v>
      </c>
      <c r="F7">
        <f>166.2+146.5</f>
        <v>312.7</v>
      </c>
      <c r="G7">
        <f>193.3+712</f>
        <v>905.3</v>
      </c>
      <c r="H7">
        <v>0</v>
      </c>
      <c r="K7" s="4">
        <f t="shared" ref="K7:K22" si="0">SUM(C7:J7)</f>
        <v>2173.6999999999998</v>
      </c>
    </row>
    <row r="8" spans="1:11" x14ac:dyDescent="0.35">
      <c r="A8" s="3">
        <v>3</v>
      </c>
      <c r="B8" s="4" t="s">
        <v>15</v>
      </c>
      <c r="C8">
        <v>30.92</v>
      </c>
      <c r="D8">
        <f>55.5+211.5</f>
        <v>267</v>
      </c>
      <c r="E8">
        <f>230.7+391.8</f>
        <v>622.5</v>
      </c>
      <c r="F8">
        <f>115.4+223.9</f>
        <v>339.3</v>
      </c>
      <c r="G8">
        <f>356.1+125.5</f>
        <v>481.6</v>
      </c>
      <c r="H8">
        <v>515.70000000000005</v>
      </c>
      <c r="I8">
        <v>762.5</v>
      </c>
      <c r="J8">
        <v>295.60000000000002</v>
      </c>
      <c r="K8" s="4">
        <f t="shared" si="0"/>
        <v>3315.1200000000003</v>
      </c>
    </row>
    <row r="9" spans="1:11" x14ac:dyDescent="0.35">
      <c r="A9" s="3">
        <v>4</v>
      </c>
      <c r="B9" s="4" t="s">
        <v>16</v>
      </c>
      <c r="C9">
        <f>21.67+23.43</f>
        <v>45.1</v>
      </c>
      <c r="D9">
        <f>114.4+98.74</f>
        <v>213.14</v>
      </c>
      <c r="E9">
        <f>107+81.67</f>
        <v>188.67000000000002</v>
      </c>
      <c r="F9">
        <f>112.7+135.8</f>
        <v>248.5</v>
      </c>
      <c r="G9">
        <f>79+126.5</f>
        <v>205.5</v>
      </c>
      <c r="H9">
        <v>116.3</v>
      </c>
      <c r="I9">
        <v>97.78</v>
      </c>
      <c r="J9">
        <v>84.67</v>
      </c>
      <c r="K9" s="4">
        <f t="shared" si="0"/>
        <v>1199.6600000000001</v>
      </c>
    </row>
    <row r="10" spans="1:11" x14ac:dyDescent="0.35">
      <c r="A10" s="3">
        <v>5</v>
      </c>
      <c r="B10" s="4" t="s">
        <v>17</v>
      </c>
      <c r="C10">
        <v>128</v>
      </c>
      <c r="D10">
        <f>295+309</f>
        <v>604</v>
      </c>
      <c r="E10">
        <f>202+351</f>
        <v>553</v>
      </c>
      <c r="F10">
        <f>242+350</f>
        <v>592</v>
      </c>
      <c r="G10">
        <f>239+258</f>
        <v>497</v>
      </c>
      <c r="H10">
        <f>158+173</f>
        <v>331</v>
      </c>
      <c r="K10" s="4">
        <f t="shared" si="0"/>
        <v>2705</v>
      </c>
    </row>
    <row r="11" spans="1:11" x14ac:dyDescent="0.35">
      <c r="A11" s="5">
        <v>6</v>
      </c>
      <c r="B11" s="4" t="s">
        <v>18</v>
      </c>
      <c r="C11">
        <f>379.3+273.8</f>
        <v>653.1</v>
      </c>
      <c r="D11">
        <f>428.3+243.9</f>
        <v>672.2</v>
      </c>
      <c r="E11">
        <f>242.8+197.8</f>
        <v>440.6</v>
      </c>
      <c r="F11">
        <f>287.3+280.2</f>
        <v>567.5</v>
      </c>
      <c r="G11">
        <f>627.4+313.4</f>
        <v>940.8</v>
      </c>
      <c r="H11">
        <f>312.3+220</f>
        <v>532.29999999999995</v>
      </c>
      <c r="I11">
        <v>0</v>
      </c>
      <c r="J11">
        <v>0</v>
      </c>
      <c r="K11" s="4">
        <f t="shared" si="0"/>
        <v>3806.5</v>
      </c>
    </row>
    <row r="12" spans="1:11" x14ac:dyDescent="0.35">
      <c r="A12" s="5"/>
      <c r="B12" s="4" t="s">
        <v>19</v>
      </c>
      <c r="C12">
        <f>255.7+143.5</f>
        <v>399.2</v>
      </c>
      <c r="D12">
        <f>457+460.8</f>
        <v>917.8</v>
      </c>
      <c r="E12">
        <f>528+586.5</f>
        <v>1114.5</v>
      </c>
      <c r="F12">
        <f>561.7+649.8</f>
        <v>1211.5</v>
      </c>
      <c r="G12">
        <f>465.7+404.1</f>
        <v>869.8</v>
      </c>
      <c r="H12">
        <f>878.8+419.8</f>
        <v>1298.5999999999999</v>
      </c>
      <c r="I12">
        <v>969</v>
      </c>
      <c r="K12" s="4">
        <f t="shared" si="0"/>
        <v>6780.4</v>
      </c>
    </row>
    <row r="13" spans="1:11" x14ac:dyDescent="0.35">
      <c r="A13" s="3"/>
      <c r="B13" s="4" t="s">
        <v>20</v>
      </c>
      <c r="C13">
        <f>234.2+249.5</f>
        <v>483.7</v>
      </c>
      <c r="D13">
        <f>228.4+860.1</f>
        <v>1088.5</v>
      </c>
      <c r="E13">
        <f>236.2+578</f>
        <v>814.2</v>
      </c>
      <c r="F13">
        <f>230.8+614.5</f>
        <v>845.3</v>
      </c>
      <c r="G13">
        <f>633.3+794</f>
        <v>1427.3</v>
      </c>
      <c r="H13">
        <f>599.6+310.8</f>
        <v>910.40000000000009</v>
      </c>
      <c r="I13">
        <f>1291+1371</f>
        <v>2662</v>
      </c>
      <c r="J13">
        <v>0</v>
      </c>
      <c r="K13" s="4">
        <f t="shared" si="0"/>
        <v>8231.4</v>
      </c>
    </row>
    <row r="14" spans="1:11" x14ac:dyDescent="0.35">
      <c r="A14" s="3">
        <v>7</v>
      </c>
      <c r="B14" s="4" t="s">
        <v>21</v>
      </c>
      <c r="C14">
        <f>153+27.5</f>
        <v>180.5</v>
      </c>
      <c r="D14">
        <f>208.2+163.4</f>
        <v>371.6</v>
      </c>
      <c r="E14">
        <f>216.6+166.5</f>
        <v>383.1</v>
      </c>
      <c r="F14">
        <f>125+143.1</f>
        <v>268.10000000000002</v>
      </c>
      <c r="G14">
        <f>175.6+189.9</f>
        <v>365.5</v>
      </c>
      <c r="H14">
        <f>282+324</f>
        <v>606</v>
      </c>
      <c r="I14">
        <v>146</v>
      </c>
      <c r="K14" s="4">
        <f t="shared" si="0"/>
        <v>2320.8000000000002</v>
      </c>
    </row>
    <row r="15" spans="1:11" x14ac:dyDescent="0.35">
      <c r="A15" s="3">
        <v>8</v>
      </c>
      <c r="B15" s="4" t="s">
        <v>22</v>
      </c>
      <c r="C15">
        <f>128.1+339.1</f>
        <v>467.20000000000005</v>
      </c>
      <c r="D15">
        <f>150.3+350.6</f>
        <v>500.90000000000003</v>
      </c>
      <c r="E15">
        <f>109.2+430.4</f>
        <v>539.6</v>
      </c>
      <c r="F15">
        <f>216+709</f>
        <v>925</v>
      </c>
      <c r="G15">
        <f>214+444.8</f>
        <v>658.8</v>
      </c>
      <c r="H15">
        <v>46.5</v>
      </c>
      <c r="I15">
        <v>0</v>
      </c>
      <c r="J15">
        <v>0</v>
      </c>
      <c r="K15" s="4">
        <f t="shared" si="0"/>
        <v>3138</v>
      </c>
    </row>
    <row r="16" spans="1:11" x14ac:dyDescent="0.35">
      <c r="A16" s="3">
        <v>9</v>
      </c>
      <c r="B16" s="4" t="s">
        <v>23</v>
      </c>
      <c r="C16">
        <f>182.6+202.3</f>
        <v>384.9</v>
      </c>
      <c r="D16">
        <f>350.2+255.3</f>
        <v>605.5</v>
      </c>
      <c r="E16">
        <f>266+273.3</f>
        <v>539.29999999999995</v>
      </c>
      <c r="F16">
        <v>313</v>
      </c>
      <c r="G16">
        <f>49.5+272.8</f>
        <v>322.3</v>
      </c>
      <c r="H16">
        <v>446.6</v>
      </c>
      <c r="I16">
        <v>0</v>
      </c>
      <c r="J16">
        <v>23</v>
      </c>
      <c r="K16" s="4">
        <f t="shared" si="0"/>
        <v>2634.6</v>
      </c>
    </row>
    <row r="17" spans="1:11" x14ac:dyDescent="0.35">
      <c r="A17" s="3">
        <v>11</v>
      </c>
      <c r="B17" s="4" t="s">
        <v>24</v>
      </c>
      <c r="C17">
        <v>20</v>
      </c>
      <c r="D17">
        <f>180+426.3</f>
        <v>606.29999999999995</v>
      </c>
      <c r="E17">
        <f>84+69.8</f>
        <v>153.80000000000001</v>
      </c>
      <c r="F17">
        <f>129.3+106</f>
        <v>235.3</v>
      </c>
      <c r="G17">
        <f>209+144.2</f>
        <v>353.2</v>
      </c>
      <c r="H17">
        <v>124.5</v>
      </c>
      <c r="I17">
        <v>183</v>
      </c>
      <c r="J17">
        <v>183</v>
      </c>
      <c r="K17" s="4">
        <f t="shared" si="0"/>
        <v>1859.1</v>
      </c>
    </row>
    <row r="18" spans="1:11" x14ac:dyDescent="0.35">
      <c r="A18" s="3">
        <v>12</v>
      </c>
      <c r="B18" s="4" t="s">
        <v>26</v>
      </c>
      <c r="C18">
        <f>132+33.75</f>
        <v>165.75</v>
      </c>
      <c r="D18">
        <f>208.8+171.8</f>
        <v>380.6</v>
      </c>
      <c r="E18">
        <f>180.7+156.6</f>
        <v>337.29999999999995</v>
      </c>
      <c r="F18">
        <f>166.8+175.7</f>
        <v>342.5</v>
      </c>
      <c r="G18">
        <f>157.2+156.5</f>
        <v>313.7</v>
      </c>
      <c r="H18">
        <v>174.2</v>
      </c>
      <c r="I18">
        <v>116.2</v>
      </c>
      <c r="J18">
        <v>25</v>
      </c>
      <c r="K18" s="4">
        <f t="shared" si="0"/>
        <v>1855.2500000000002</v>
      </c>
    </row>
    <row r="19" spans="1:11" x14ac:dyDescent="0.35">
      <c r="A19" s="3">
        <v>13</v>
      </c>
      <c r="B19" s="4" t="s">
        <v>27</v>
      </c>
      <c r="C19">
        <f>68.8+52.6</f>
        <v>121.4</v>
      </c>
      <c r="D19">
        <f>341.7+383</f>
        <v>724.7</v>
      </c>
      <c r="E19">
        <f>263+268.2</f>
        <v>531.20000000000005</v>
      </c>
      <c r="F19">
        <f>190.6+307.3</f>
        <v>497.9</v>
      </c>
      <c r="G19">
        <f>820.3+284.7</f>
        <v>1105</v>
      </c>
      <c r="H19">
        <f>814.6+1470</f>
        <v>2284.6</v>
      </c>
      <c r="I19">
        <v>1152</v>
      </c>
      <c r="K19" s="4">
        <f t="shared" si="0"/>
        <v>6416.8</v>
      </c>
    </row>
    <row r="20" spans="1:11" x14ac:dyDescent="0.35">
      <c r="A20" s="3">
        <v>14</v>
      </c>
      <c r="B20" s="4" t="s">
        <v>28</v>
      </c>
      <c r="C20">
        <f>135.2+44.6</f>
        <v>179.79999999999998</v>
      </c>
      <c r="D20">
        <f>220.6+178.4</f>
        <v>399</v>
      </c>
      <c r="E20">
        <f>162.2+162.3</f>
        <v>324.5</v>
      </c>
      <c r="F20">
        <f>242.7+135.9</f>
        <v>378.6</v>
      </c>
      <c r="G20">
        <f>142.3+173</f>
        <v>315.3</v>
      </c>
      <c r="H20">
        <v>105.3</v>
      </c>
      <c r="I20">
        <v>0</v>
      </c>
      <c r="J20">
        <v>0</v>
      </c>
      <c r="K20" s="4">
        <f t="shared" si="0"/>
        <v>1702.5</v>
      </c>
    </row>
    <row r="21" spans="1:11" x14ac:dyDescent="0.35">
      <c r="A21" s="3">
        <v>15</v>
      </c>
      <c r="B21" s="4" t="s">
        <v>29</v>
      </c>
      <c r="C21">
        <f>45.4+33.1</f>
        <v>78.5</v>
      </c>
      <c r="D21">
        <f>130.7+172.7</f>
        <v>303.39999999999998</v>
      </c>
      <c r="E21">
        <f>270.7+237.6</f>
        <v>508.29999999999995</v>
      </c>
      <c r="F21">
        <f>117.4+158.3</f>
        <v>275.70000000000005</v>
      </c>
      <c r="G21">
        <f>674+720.3</f>
        <v>1394.3</v>
      </c>
      <c r="H21">
        <f>1075+327</f>
        <v>1402</v>
      </c>
      <c r="I21">
        <v>450</v>
      </c>
      <c r="J21">
        <v>0</v>
      </c>
      <c r="K21" s="4">
        <f t="shared" si="0"/>
        <v>4412.2</v>
      </c>
    </row>
    <row r="22" spans="1:11" x14ac:dyDescent="0.35">
      <c r="A22" s="3">
        <v>16</v>
      </c>
      <c r="B22" s="4" t="s">
        <v>30</v>
      </c>
      <c r="C22">
        <f>142+67</f>
        <v>209</v>
      </c>
      <c r="D22">
        <f>246+187</f>
        <v>433</v>
      </c>
      <c r="E22">
        <f>240+179</f>
        <v>419</v>
      </c>
      <c r="F22">
        <f>245+205</f>
        <v>450</v>
      </c>
      <c r="G22">
        <f>241+226</f>
        <v>467</v>
      </c>
      <c r="H22">
        <f>479+607</f>
        <v>1086</v>
      </c>
      <c r="I22">
        <v>239</v>
      </c>
      <c r="J22">
        <v>688</v>
      </c>
      <c r="K22" s="4">
        <f t="shared" si="0"/>
        <v>3991</v>
      </c>
    </row>
    <row r="23" spans="1:11" x14ac:dyDescent="0.35">
      <c r="A23" s="1"/>
      <c r="B23" s="2" t="s">
        <v>12</v>
      </c>
      <c r="C23" s="4">
        <f>SUM(C6:C22)</f>
        <v>4015.2700000000004</v>
      </c>
      <c r="D23" s="4">
        <f t="shared" ref="D23:K23" si="1">SUM(D6:D22)</f>
        <v>8618.14</v>
      </c>
      <c r="E23" s="4">
        <f t="shared" si="1"/>
        <v>7899.670000000001</v>
      </c>
      <c r="F23" s="4">
        <f t="shared" si="1"/>
        <v>8267.9000000000015</v>
      </c>
      <c r="G23" s="4">
        <f t="shared" si="1"/>
        <v>10811.399999999998</v>
      </c>
      <c r="H23" s="4">
        <f t="shared" si="1"/>
        <v>10003.5</v>
      </c>
      <c r="I23" s="4">
        <f t="shared" si="1"/>
        <v>6937.48</v>
      </c>
      <c r="J23" s="4">
        <f t="shared" si="1"/>
        <v>1299.27</v>
      </c>
      <c r="K23" s="4">
        <f t="shared" si="1"/>
        <v>57852.62999999999</v>
      </c>
    </row>
    <row r="24" spans="1:11" x14ac:dyDescent="0.35">
      <c r="A24" s="1"/>
    </row>
    <row r="25" spans="1:11" x14ac:dyDescent="0.35">
      <c r="A25" t="s">
        <v>31</v>
      </c>
    </row>
    <row r="27" spans="1:11" x14ac:dyDescent="0.35">
      <c r="A27" s="4"/>
    </row>
    <row r="31" spans="1:11" x14ac:dyDescent="0.35">
      <c r="A31" s="3"/>
      <c r="B31" s="4"/>
    </row>
    <row r="32" spans="1:11" x14ac:dyDescent="0.35">
      <c r="A32" s="3"/>
      <c r="B32" s="4"/>
    </row>
    <row r="33" spans="1:2" x14ac:dyDescent="0.35">
      <c r="A33" s="3"/>
      <c r="B33" s="4"/>
    </row>
    <row r="34" spans="1:2" x14ac:dyDescent="0.35">
      <c r="A34" s="3"/>
      <c r="B34" s="4"/>
    </row>
    <row r="35" spans="1:2" x14ac:dyDescent="0.35">
      <c r="A35" s="5"/>
      <c r="B35" s="4"/>
    </row>
    <row r="36" spans="1:2" x14ac:dyDescent="0.35">
      <c r="A36" s="5"/>
      <c r="B36" s="4"/>
    </row>
    <row r="37" spans="1:2" x14ac:dyDescent="0.35">
      <c r="A37" s="3"/>
      <c r="B37" s="4"/>
    </row>
    <row r="38" spans="1:2" x14ac:dyDescent="0.35">
      <c r="A38" s="3"/>
      <c r="B38" s="4"/>
    </row>
    <row r="39" spans="1:2" x14ac:dyDescent="0.35">
      <c r="A39" s="3"/>
      <c r="B39" s="4"/>
    </row>
    <row r="40" spans="1:2" x14ac:dyDescent="0.35">
      <c r="A40" s="3"/>
      <c r="B40" s="4"/>
    </row>
    <row r="41" spans="1:2" x14ac:dyDescent="0.35">
      <c r="A41" s="3"/>
      <c r="B41" s="4"/>
    </row>
    <row r="42" spans="1:2" x14ac:dyDescent="0.35">
      <c r="A42" s="3"/>
      <c r="B42" s="4"/>
    </row>
    <row r="43" spans="1:2" x14ac:dyDescent="0.35">
      <c r="A43" s="3"/>
      <c r="B43" s="4"/>
    </row>
    <row r="44" spans="1:2" x14ac:dyDescent="0.35">
      <c r="A44" s="3"/>
      <c r="B44" s="4"/>
    </row>
    <row r="45" spans="1:2" x14ac:dyDescent="0.35">
      <c r="A45" s="3"/>
      <c r="B45" s="4"/>
    </row>
    <row r="46" spans="1:2" x14ac:dyDescent="0.35">
      <c r="A46" s="3"/>
      <c r="B46" s="4"/>
    </row>
  </sheetData>
  <mergeCells count="1">
    <mergeCell ref="A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26FEB-0192-41C1-8DA4-CB20B4C045C4}">
  <sheetPr>
    <tabColor rgb="FFFF0000"/>
  </sheetPr>
  <dimension ref="A1:K3"/>
  <sheetViews>
    <sheetView workbookViewId="0">
      <selection activeCell="E17" sqref="E17"/>
    </sheetView>
  </sheetViews>
  <sheetFormatPr baseColWidth="10" defaultRowHeight="14.5" x14ac:dyDescent="0.35"/>
  <sheetData>
    <row r="1" spans="1:11" x14ac:dyDescent="0.35">
      <c r="A1" s="9" t="s">
        <v>35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3" spans="1:11" x14ac:dyDescent="0.35">
      <c r="A3" t="s">
        <v>1</v>
      </c>
    </row>
  </sheetData>
  <mergeCells count="1">
    <mergeCell ref="A1:K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13DEE-40BE-4207-A222-1CD4738B6328}">
  <sheetPr>
    <tabColor rgb="FFFF0000"/>
  </sheetPr>
  <dimension ref="A1:M3"/>
  <sheetViews>
    <sheetView workbookViewId="0">
      <selection sqref="A1:M1"/>
    </sheetView>
  </sheetViews>
  <sheetFormatPr baseColWidth="10" defaultRowHeight="14.5" x14ac:dyDescent="0.35"/>
  <sheetData>
    <row r="1" spans="1:13" x14ac:dyDescent="0.35">
      <c r="A1" s="6" t="s">
        <v>36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3" spans="1:13" x14ac:dyDescent="0.35">
      <c r="A3" t="s">
        <v>1</v>
      </c>
    </row>
  </sheetData>
  <mergeCells count="1">
    <mergeCell ref="A1:M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A718C-5CC5-4907-A1E7-E0E286AF2551}">
  <sheetPr>
    <tabColor rgb="FFFF0000"/>
  </sheetPr>
  <dimension ref="A1:L3"/>
  <sheetViews>
    <sheetView workbookViewId="0">
      <selection activeCell="A3" sqref="A3"/>
    </sheetView>
  </sheetViews>
  <sheetFormatPr baseColWidth="10" defaultRowHeight="14.5" x14ac:dyDescent="0.35"/>
  <sheetData>
    <row r="1" spans="1:12" x14ac:dyDescent="0.35">
      <c r="A1" s="6" t="s">
        <v>37</v>
      </c>
      <c r="B1" s="7"/>
      <c r="C1" s="7"/>
      <c r="D1" s="7"/>
      <c r="E1" s="7"/>
      <c r="F1" s="7"/>
      <c r="G1" s="7"/>
      <c r="H1" s="7"/>
      <c r="I1" s="7"/>
      <c r="J1" s="7"/>
      <c r="K1" s="7"/>
      <c r="L1" s="8"/>
    </row>
    <row r="3" spans="1:12" x14ac:dyDescent="0.35">
      <c r="A3" t="s">
        <v>39</v>
      </c>
    </row>
  </sheetData>
  <mergeCells count="1">
    <mergeCell ref="A1:L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BF18D-25A4-42FB-8F54-7ABFADE282C5}">
  <dimension ref="A1:K24"/>
  <sheetViews>
    <sheetView topLeftCell="A7" workbookViewId="0">
      <selection activeCell="E27" sqref="E27"/>
    </sheetView>
  </sheetViews>
  <sheetFormatPr baseColWidth="10" defaultRowHeight="14.5" x14ac:dyDescent="0.35"/>
  <cols>
    <col min="2" max="2" width="49.453125" customWidth="1"/>
    <col min="10" max="10" width="13.453125" customWidth="1"/>
  </cols>
  <sheetData>
    <row r="1" spans="1:11" x14ac:dyDescent="0.35">
      <c r="A1" s="9" t="s">
        <v>38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3" spans="1:11" x14ac:dyDescent="0.3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</row>
    <row r="4" spans="1:11" x14ac:dyDescent="0.35">
      <c r="A4" s="3">
        <v>1</v>
      </c>
      <c r="B4" s="4" t="s">
        <v>13</v>
      </c>
      <c r="C4">
        <v>1</v>
      </c>
      <c r="D4">
        <v>9</v>
      </c>
      <c r="E4">
        <v>11</v>
      </c>
      <c r="F4">
        <v>1</v>
      </c>
      <c r="G4">
        <v>0</v>
      </c>
      <c r="H4">
        <v>0</v>
      </c>
      <c r="I4">
        <v>1</v>
      </c>
      <c r="J4">
        <v>0</v>
      </c>
      <c r="K4" s="4">
        <v>23</v>
      </c>
    </row>
    <row r="5" spans="1:11" x14ac:dyDescent="0.35">
      <c r="A5" s="3">
        <v>2</v>
      </c>
      <c r="B5" s="4" t="s">
        <v>14</v>
      </c>
      <c r="C5">
        <v>7</v>
      </c>
      <c r="D5">
        <v>6</v>
      </c>
      <c r="E5">
        <v>2</v>
      </c>
      <c r="F5">
        <v>2</v>
      </c>
      <c r="G5">
        <v>2</v>
      </c>
      <c r="H5">
        <v>0</v>
      </c>
      <c r="I5">
        <v>0</v>
      </c>
      <c r="J5">
        <v>0</v>
      </c>
      <c r="K5" s="4">
        <v>19</v>
      </c>
    </row>
    <row r="6" spans="1:11" x14ac:dyDescent="0.35">
      <c r="A6" s="3">
        <v>3</v>
      </c>
      <c r="B6" s="4" t="s">
        <v>15</v>
      </c>
      <c r="C6">
        <v>13</v>
      </c>
      <c r="D6">
        <v>34</v>
      </c>
      <c r="E6">
        <v>13</v>
      </c>
      <c r="F6">
        <v>7</v>
      </c>
      <c r="G6">
        <v>4</v>
      </c>
      <c r="H6">
        <v>0</v>
      </c>
      <c r="I6">
        <v>0</v>
      </c>
      <c r="J6">
        <v>0</v>
      </c>
      <c r="K6" s="4">
        <v>71</v>
      </c>
    </row>
    <row r="7" spans="1:11" x14ac:dyDescent="0.35">
      <c r="A7" s="3">
        <v>4</v>
      </c>
      <c r="B7" s="4" t="s">
        <v>16</v>
      </c>
      <c r="C7">
        <v>7</v>
      </c>
      <c r="D7">
        <v>31</v>
      </c>
      <c r="E7">
        <v>24</v>
      </c>
      <c r="F7">
        <v>12</v>
      </c>
      <c r="G7">
        <v>2</v>
      </c>
      <c r="K7" s="4">
        <v>76</v>
      </c>
    </row>
    <row r="8" spans="1:11" x14ac:dyDescent="0.35">
      <c r="A8" s="3">
        <v>5</v>
      </c>
      <c r="B8" s="4" t="s">
        <v>17</v>
      </c>
      <c r="C8">
        <v>4</v>
      </c>
      <c r="D8">
        <v>57</v>
      </c>
      <c r="E8">
        <v>22</v>
      </c>
      <c r="F8">
        <v>10</v>
      </c>
      <c r="G8">
        <v>8</v>
      </c>
      <c r="H8">
        <v>2</v>
      </c>
      <c r="K8" s="4">
        <v>103</v>
      </c>
    </row>
    <row r="9" spans="1:11" x14ac:dyDescent="0.35">
      <c r="A9" s="5">
        <v>6</v>
      </c>
      <c r="B9" s="4" t="s">
        <v>18</v>
      </c>
      <c r="C9">
        <v>90</v>
      </c>
      <c r="D9">
        <v>90</v>
      </c>
      <c r="E9">
        <v>29</v>
      </c>
      <c r="F9">
        <v>19</v>
      </c>
      <c r="G9">
        <v>12</v>
      </c>
      <c r="H9">
        <v>2</v>
      </c>
      <c r="I9">
        <v>0</v>
      </c>
      <c r="J9">
        <v>0</v>
      </c>
      <c r="K9" s="4">
        <v>242</v>
      </c>
    </row>
    <row r="10" spans="1:11" x14ac:dyDescent="0.35">
      <c r="A10" s="5"/>
      <c r="B10" s="4" t="s">
        <v>19</v>
      </c>
      <c r="C10">
        <v>27</v>
      </c>
      <c r="D10">
        <v>229</v>
      </c>
      <c r="E10">
        <v>84</v>
      </c>
      <c r="F10">
        <v>30</v>
      </c>
      <c r="G10">
        <v>22</v>
      </c>
      <c r="H10">
        <v>6</v>
      </c>
      <c r="I10">
        <v>0</v>
      </c>
      <c r="J10">
        <v>0</v>
      </c>
      <c r="K10" s="4">
        <v>398</v>
      </c>
    </row>
    <row r="11" spans="1:11" x14ac:dyDescent="0.35">
      <c r="A11" s="3"/>
      <c r="B11" s="4" t="s">
        <v>20</v>
      </c>
      <c r="C11">
        <v>364</v>
      </c>
      <c r="D11">
        <v>360</v>
      </c>
      <c r="E11">
        <v>103</v>
      </c>
      <c r="F11">
        <v>58</v>
      </c>
      <c r="G11">
        <v>85</v>
      </c>
      <c r="H11">
        <v>5</v>
      </c>
      <c r="I11">
        <v>1</v>
      </c>
      <c r="J11">
        <v>0</v>
      </c>
      <c r="K11" s="4">
        <v>976</v>
      </c>
    </row>
    <row r="12" spans="1:11" x14ac:dyDescent="0.35">
      <c r="A12" s="3">
        <v>7</v>
      </c>
      <c r="B12" s="4" t="s">
        <v>21</v>
      </c>
      <c r="C12">
        <v>21</v>
      </c>
      <c r="D12">
        <v>102</v>
      </c>
      <c r="E12">
        <v>23</v>
      </c>
      <c r="F12">
        <v>12</v>
      </c>
      <c r="G12">
        <v>19</v>
      </c>
      <c r="H12">
        <v>1</v>
      </c>
      <c r="K12" s="4">
        <v>178</v>
      </c>
    </row>
    <row r="13" spans="1:11" x14ac:dyDescent="0.35">
      <c r="A13" s="3">
        <v>8</v>
      </c>
      <c r="B13" s="4" t="s">
        <v>22</v>
      </c>
      <c r="C13">
        <v>18</v>
      </c>
      <c r="D13">
        <v>37</v>
      </c>
      <c r="E13">
        <v>25</v>
      </c>
      <c r="F13">
        <v>4</v>
      </c>
      <c r="G13">
        <v>11</v>
      </c>
      <c r="H13">
        <v>0</v>
      </c>
      <c r="I13">
        <v>0</v>
      </c>
      <c r="J13">
        <v>0</v>
      </c>
      <c r="K13" s="4">
        <v>95</v>
      </c>
    </row>
    <row r="14" spans="1:11" x14ac:dyDescent="0.35">
      <c r="A14" s="3">
        <v>9</v>
      </c>
      <c r="B14" s="4" t="s">
        <v>23</v>
      </c>
      <c r="C14">
        <v>3</v>
      </c>
      <c r="D14">
        <v>24</v>
      </c>
      <c r="E14">
        <v>20</v>
      </c>
      <c r="F14">
        <v>3</v>
      </c>
      <c r="G14">
        <v>5</v>
      </c>
      <c r="H14">
        <v>0</v>
      </c>
      <c r="I14">
        <v>0</v>
      </c>
      <c r="J14">
        <v>0</v>
      </c>
      <c r="K14" s="4">
        <v>55</v>
      </c>
    </row>
    <row r="15" spans="1:11" x14ac:dyDescent="0.35">
      <c r="A15" s="5">
        <v>11</v>
      </c>
      <c r="B15" s="4" t="s">
        <v>24</v>
      </c>
      <c r="C15">
        <v>4</v>
      </c>
      <c r="D15">
        <v>6</v>
      </c>
      <c r="E15">
        <v>9</v>
      </c>
      <c r="F15">
        <v>1</v>
      </c>
      <c r="G15">
        <v>4</v>
      </c>
      <c r="K15" s="4">
        <v>24</v>
      </c>
    </row>
    <row r="16" spans="1:11" x14ac:dyDescent="0.35">
      <c r="A16" s="3"/>
      <c r="B16" s="4" t="s">
        <v>25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 s="4">
        <v>0</v>
      </c>
    </row>
    <row r="17" spans="1:11" x14ac:dyDescent="0.35">
      <c r="A17" s="3">
        <v>12</v>
      </c>
      <c r="B17" s="4" t="s">
        <v>26</v>
      </c>
      <c r="C17">
        <v>12</v>
      </c>
      <c r="D17">
        <v>75</v>
      </c>
      <c r="E17">
        <v>23</v>
      </c>
      <c r="F17">
        <v>14</v>
      </c>
      <c r="G17">
        <v>14</v>
      </c>
      <c r="H17">
        <v>0</v>
      </c>
      <c r="I17">
        <v>0</v>
      </c>
      <c r="J17">
        <v>0</v>
      </c>
      <c r="K17" s="4">
        <v>138</v>
      </c>
    </row>
    <row r="18" spans="1:11" x14ac:dyDescent="0.35">
      <c r="A18" s="3">
        <v>13</v>
      </c>
      <c r="B18" s="4" t="s">
        <v>27</v>
      </c>
      <c r="C18">
        <v>23</v>
      </c>
      <c r="D18">
        <v>62</v>
      </c>
      <c r="E18">
        <v>21</v>
      </c>
      <c r="F18">
        <v>15</v>
      </c>
      <c r="G18">
        <v>6</v>
      </c>
      <c r="H18">
        <v>2</v>
      </c>
      <c r="I18">
        <v>0</v>
      </c>
      <c r="J18">
        <v>0</v>
      </c>
      <c r="K18" s="4">
        <v>129</v>
      </c>
    </row>
    <row r="19" spans="1:11" x14ac:dyDescent="0.35">
      <c r="A19" s="3">
        <v>14</v>
      </c>
      <c r="B19" s="4" t="s">
        <v>28</v>
      </c>
      <c r="C19">
        <v>14</v>
      </c>
      <c r="D19">
        <v>122</v>
      </c>
      <c r="E19">
        <v>66</v>
      </c>
      <c r="F19">
        <v>17</v>
      </c>
      <c r="G19">
        <v>13</v>
      </c>
      <c r="H19">
        <v>0</v>
      </c>
      <c r="I19">
        <v>0</v>
      </c>
      <c r="J19">
        <v>0</v>
      </c>
      <c r="K19" s="4">
        <v>232</v>
      </c>
    </row>
    <row r="20" spans="1:11" x14ac:dyDescent="0.35">
      <c r="A20" s="3">
        <v>15</v>
      </c>
      <c r="B20" s="4" t="s">
        <v>29</v>
      </c>
      <c r="C20">
        <v>8</v>
      </c>
      <c r="D20">
        <v>44</v>
      </c>
      <c r="E20">
        <v>17</v>
      </c>
      <c r="F20">
        <v>6</v>
      </c>
      <c r="G20">
        <v>12</v>
      </c>
      <c r="H20">
        <v>1</v>
      </c>
      <c r="I20">
        <v>0</v>
      </c>
      <c r="J20">
        <v>0</v>
      </c>
      <c r="K20" s="4">
        <v>88</v>
      </c>
    </row>
    <row r="21" spans="1:11" x14ac:dyDescent="0.35">
      <c r="A21" s="3">
        <v>16</v>
      </c>
      <c r="B21" s="4" t="s">
        <v>30</v>
      </c>
      <c r="C21">
        <v>119</v>
      </c>
      <c r="D21">
        <v>592</v>
      </c>
      <c r="E21">
        <v>190</v>
      </c>
      <c r="F21">
        <v>34</v>
      </c>
      <c r="G21">
        <v>29</v>
      </c>
      <c r="H21">
        <v>6</v>
      </c>
      <c r="K21" s="4">
        <v>970</v>
      </c>
    </row>
    <row r="22" spans="1:11" x14ac:dyDescent="0.35">
      <c r="A22" s="1"/>
      <c r="B22" s="2" t="s">
        <v>12</v>
      </c>
      <c r="C22" s="4">
        <f>SUM(C4:C21)</f>
        <v>735</v>
      </c>
      <c r="D22" s="4">
        <f t="shared" ref="D22:K22" si="0">SUM(D4:D21)</f>
        <v>1880</v>
      </c>
      <c r="E22" s="4">
        <f t="shared" si="0"/>
        <v>682</v>
      </c>
      <c r="F22" s="4">
        <f t="shared" si="0"/>
        <v>245</v>
      </c>
      <c r="G22" s="4">
        <f t="shared" si="0"/>
        <v>248</v>
      </c>
      <c r="H22" s="4">
        <f t="shared" si="0"/>
        <v>25</v>
      </c>
      <c r="I22" s="4">
        <f t="shared" si="0"/>
        <v>2</v>
      </c>
      <c r="J22" s="4">
        <f t="shared" si="0"/>
        <v>0</v>
      </c>
      <c r="K22" s="4">
        <f t="shared" si="0"/>
        <v>3817</v>
      </c>
    </row>
    <row r="23" spans="1:11" x14ac:dyDescent="0.35">
      <c r="A23" s="1"/>
    </row>
    <row r="24" spans="1:11" x14ac:dyDescent="0.35">
      <c r="A24" t="s">
        <v>31</v>
      </c>
    </row>
  </sheetData>
  <mergeCells count="1">
    <mergeCell ref="A1:K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23C5D-E0F7-4063-82C9-3C3D1CC1C4FD}">
  <dimension ref="A1:K23"/>
  <sheetViews>
    <sheetView workbookViewId="0">
      <selection activeCell="A13" sqref="A13:XFD14"/>
    </sheetView>
  </sheetViews>
  <sheetFormatPr baseColWidth="10" defaultRowHeight="14.5" x14ac:dyDescent="0.35"/>
  <cols>
    <col min="2" max="2" width="45.26953125" customWidth="1"/>
    <col min="10" max="10" width="13.1796875" customWidth="1"/>
  </cols>
  <sheetData>
    <row r="1" spans="1:11" x14ac:dyDescent="0.35">
      <c r="A1" s="9" t="s">
        <v>42</v>
      </c>
      <c r="B1" s="10"/>
      <c r="C1" s="10"/>
      <c r="D1" s="10"/>
      <c r="E1" s="10"/>
      <c r="F1" s="10"/>
      <c r="G1" s="10"/>
      <c r="H1" s="10"/>
      <c r="I1" s="10"/>
      <c r="J1" s="11"/>
    </row>
    <row r="3" spans="1:11" x14ac:dyDescent="0.3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</row>
    <row r="4" spans="1:11" x14ac:dyDescent="0.35">
      <c r="A4" s="3">
        <v>1</v>
      </c>
      <c r="B4" s="4" t="s">
        <v>13</v>
      </c>
      <c r="C4">
        <v>44</v>
      </c>
      <c r="D4">
        <v>74.900000000000006</v>
      </c>
      <c r="E4">
        <v>91.5</v>
      </c>
      <c r="F4">
        <v>233</v>
      </c>
      <c r="G4">
        <v>0</v>
      </c>
      <c r="H4">
        <v>0</v>
      </c>
      <c r="I4">
        <v>160</v>
      </c>
      <c r="J4">
        <v>0</v>
      </c>
      <c r="K4" s="4">
        <f>SUM(C4:J4)</f>
        <v>603.4</v>
      </c>
    </row>
    <row r="5" spans="1:11" x14ac:dyDescent="0.35">
      <c r="A5" s="3">
        <v>2</v>
      </c>
      <c r="B5" s="4" t="s">
        <v>14</v>
      </c>
      <c r="C5">
        <v>78</v>
      </c>
      <c r="D5">
        <v>194.3</v>
      </c>
      <c r="E5">
        <v>166</v>
      </c>
      <c r="F5">
        <v>146.5</v>
      </c>
      <c r="G5">
        <v>712</v>
      </c>
      <c r="H5">
        <v>0</v>
      </c>
      <c r="I5">
        <v>0</v>
      </c>
      <c r="J5">
        <v>0</v>
      </c>
      <c r="K5" s="4">
        <f t="shared" ref="K5:K19" si="0">SUM(C5:J5)</f>
        <v>1296.8</v>
      </c>
    </row>
    <row r="6" spans="1:11" x14ac:dyDescent="0.35">
      <c r="A6" s="3">
        <v>3</v>
      </c>
      <c r="B6" s="4" t="s">
        <v>15</v>
      </c>
      <c r="C6">
        <v>30.92</v>
      </c>
      <c r="D6">
        <v>211.5</v>
      </c>
      <c r="E6">
        <v>391.8</v>
      </c>
      <c r="F6">
        <v>223.9</v>
      </c>
      <c r="G6">
        <v>125.5</v>
      </c>
      <c r="K6" s="4">
        <f t="shared" si="0"/>
        <v>983.62</v>
      </c>
    </row>
    <row r="7" spans="1:11" x14ac:dyDescent="0.35">
      <c r="A7" s="3">
        <v>4</v>
      </c>
      <c r="B7" s="4" t="s">
        <v>16</v>
      </c>
      <c r="C7">
        <v>23.43</v>
      </c>
      <c r="D7">
        <v>98.74</v>
      </c>
      <c r="E7">
        <v>81.67</v>
      </c>
      <c r="F7">
        <v>135.80000000000001</v>
      </c>
      <c r="G7">
        <v>126.5</v>
      </c>
      <c r="K7" s="4">
        <f t="shared" si="0"/>
        <v>466.14</v>
      </c>
    </row>
    <row r="8" spans="1:11" x14ac:dyDescent="0.35">
      <c r="A8" s="3">
        <v>5</v>
      </c>
      <c r="B8" s="4" t="s">
        <v>17</v>
      </c>
      <c r="C8">
        <v>128</v>
      </c>
      <c r="D8">
        <v>309</v>
      </c>
      <c r="E8">
        <v>351</v>
      </c>
      <c r="F8">
        <v>350</v>
      </c>
      <c r="G8">
        <v>258</v>
      </c>
      <c r="H8">
        <v>173</v>
      </c>
      <c r="K8" s="4">
        <f t="shared" si="0"/>
        <v>1569</v>
      </c>
    </row>
    <row r="9" spans="1:11" x14ac:dyDescent="0.35">
      <c r="A9" s="5">
        <v>6</v>
      </c>
      <c r="B9" s="4" t="s">
        <v>18</v>
      </c>
      <c r="C9">
        <v>273.8</v>
      </c>
      <c r="D9">
        <v>243.9</v>
      </c>
      <c r="E9">
        <v>197.8</v>
      </c>
      <c r="F9">
        <v>280.2</v>
      </c>
      <c r="G9">
        <v>313.39999999999998</v>
      </c>
      <c r="H9">
        <v>220</v>
      </c>
      <c r="I9">
        <v>0</v>
      </c>
      <c r="J9">
        <v>0</v>
      </c>
      <c r="K9" s="4">
        <f t="shared" si="0"/>
        <v>1529.1</v>
      </c>
    </row>
    <row r="10" spans="1:11" x14ac:dyDescent="0.35">
      <c r="A10" s="5"/>
      <c r="B10" s="4" t="s">
        <v>19</v>
      </c>
      <c r="C10">
        <v>143.5</v>
      </c>
      <c r="D10">
        <v>460.8</v>
      </c>
      <c r="E10">
        <v>586.5</v>
      </c>
      <c r="F10">
        <v>649.79999999999995</v>
      </c>
      <c r="G10">
        <v>404.1</v>
      </c>
      <c r="H10">
        <v>419.8</v>
      </c>
      <c r="K10" s="4">
        <f t="shared" si="0"/>
        <v>2664.5</v>
      </c>
    </row>
    <row r="11" spans="1:11" x14ac:dyDescent="0.35">
      <c r="A11" s="3"/>
      <c r="B11" s="4" t="s">
        <v>20</v>
      </c>
      <c r="C11">
        <v>249.5</v>
      </c>
      <c r="D11">
        <v>860.1</v>
      </c>
      <c r="E11">
        <v>578</v>
      </c>
      <c r="F11">
        <v>614.5</v>
      </c>
      <c r="G11">
        <v>794</v>
      </c>
      <c r="H11">
        <v>310.8</v>
      </c>
      <c r="I11">
        <v>1371</v>
      </c>
      <c r="J11">
        <v>0</v>
      </c>
      <c r="K11" s="4">
        <f t="shared" si="0"/>
        <v>4777.8999999999996</v>
      </c>
    </row>
    <row r="12" spans="1:11" x14ac:dyDescent="0.35">
      <c r="A12" s="3">
        <v>7</v>
      </c>
      <c r="B12" s="4" t="s">
        <v>21</v>
      </c>
      <c r="C12">
        <v>27.5</v>
      </c>
      <c r="D12">
        <v>163.4</v>
      </c>
      <c r="E12">
        <v>166.5</v>
      </c>
      <c r="F12">
        <v>143.1</v>
      </c>
      <c r="G12">
        <v>189.9</v>
      </c>
      <c r="H12">
        <v>324</v>
      </c>
      <c r="K12" s="4">
        <f t="shared" si="0"/>
        <v>1014.4</v>
      </c>
    </row>
    <row r="13" spans="1:11" x14ac:dyDescent="0.35">
      <c r="A13" s="3">
        <v>8</v>
      </c>
      <c r="B13" s="4" t="s">
        <v>22</v>
      </c>
      <c r="C13">
        <v>339.1</v>
      </c>
      <c r="D13">
        <v>350.6</v>
      </c>
      <c r="E13">
        <v>430.4</v>
      </c>
      <c r="F13">
        <v>709</v>
      </c>
      <c r="G13">
        <v>444.8</v>
      </c>
      <c r="H13">
        <v>0</v>
      </c>
      <c r="I13">
        <v>0</v>
      </c>
      <c r="J13">
        <v>0</v>
      </c>
      <c r="K13" s="4">
        <f t="shared" si="0"/>
        <v>2273.9</v>
      </c>
    </row>
    <row r="14" spans="1:11" x14ac:dyDescent="0.35">
      <c r="A14" s="3">
        <v>9</v>
      </c>
      <c r="B14" s="4" t="s">
        <v>23</v>
      </c>
      <c r="C14">
        <v>202.3</v>
      </c>
      <c r="D14">
        <v>255.3</v>
      </c>
      <c r="E14">
        <v>273.3</v>
      </c>
      <c r="F14">
        <v>313</v>
      </c>
      <c r="G14">
        <v>272.8</v>
      </c>
      <c r="K14" s="4">
        <f t="shared" si="0"/>
        <v>1316.7</v>
      </c>
    </row>
    <row r="15" spans="1:11" x14ac:dyDescent="0.35">
      <c r="A15" s="3">
        <v>11</v>
      </c>
      <c r="B15" s="4" t="s">
        <v>24</v>
      </c>
      <c r="C15">
        <v>20</v>
      </c>
      <c r="D15">
        <v>426.3</v>
      </c>
      <c r="E15">
        <v>69.8</v>
      </c>
      <c r="F15">
        <v>106</v>
      </c>
      <c r="G15">
        <v>144.19999999999999</v>
      </c>
      <c r="K15" s="4">
        <f t="shared" si="0"/>
        <v>766.3</v>
      </c>
    </row>
    <row r="16" spans="1:11" x14ac:dyDescent="0.35">
      <c r="A16" s="3">
        <v>12</v>
      </c>
      <c r="B16" s="4" t="s">
        <v>26</v>
      </c>
      <c r="C16">
        <v>33.75</v>
      </c>
      <c r="D16">
        <v>171.8</v>
      </c>
      <c r="E16">
        <v>156.6</v>
      </c>
      <c r="F16">
        <v>175.7</v>
      </c>
      <c r="G16">
        <v>156.5</v>
      </c>
      <c r="H16">
        <v>0</v>
      </c>
      <c r="I16">
        <v>0</v>
      </c>
      <c r="J16">
        <v>0</v>
      </c>
      <c r="K16" s="4">
        <f t="shared" si="0"/>
        <v>694.34999999999991</v>
      </c>
    </row>
    <row r="17" spans="1:11" x14ac:dyDescent="0.35">
      <c r="A17" s="3">
        <v>13</v>
      </c>
      <c r="B17" s="4" t="s">
        <v>27</v>
      </c>
      <c r="C17">
        <v>52.6</v>
      </c>
      <c r="D17">
        <v>383</v>
      </c>
      <c r="E17">
        <v>268.2</v>
      </c>
      <c r="F17">
        <v>307.3</v>
      </c>
      <c r="G17">
        <v>284.7</v>
      </c>
      <c r="H17">
        <v>1470</v>
      </c>
      <c r="K17" s="4">
        <f t="shared" si="0"/>
        <v>2765.8</v>
      </c>
    </row>
    <row r="18" spans="1:11" x14ac:dyDescent="0.35">
      <c r="A18" s="3">
        <v>14</v>
      </c>
      <c r="B18" s="4" t="s">
        <v>28</v>
      </c>
      <c r="C18">
        <v>44.6</v>
      </c>
      <c r="D18">
        <v>178.4</v>
      </c>
      <c r="E18">
        <v>162.30000000000001</v>
      </c>
      <c r="F18">
        <v>135.9</v>
      </c>
      <c r="G18">
        <v>173</v>
      </c>
      <c r="H18">
        <v>0</v>
      </c>
      <c r="I18">
        <v>0</v>
      </c>
      <c r="J18">
        <v>0</v>
      </c>
      <c r="K18" s="4">
        <f t="shared" si="0"/>
        <v>694.2</v>
      </c>
    </row>
    <row r="19" spans="1:11" x14ac:dyDescent="0.35">
      <c r="A19" s="3">
        <v>15</v>
      </c>
      <c r="B19" s="4" t="s">
        <v>29</v>
      </c>
      <c r="C19">
        <v>33.1</v>
      </c>
      <c r="D19">
        <v>172.7</v>
      </c>
      <c r="E19">
        <v>237.6</v>
      </c>
      <c r="F19">
        <v>158.30000000000001</v>
      </c>
      <c r="G19">
        <v>720.3</v>
      </c>
      <c r="H19">
        <v>327</v>
      </c>
      <c r="I19">
        <v>0</v>
      </c>
      <c r="J19">
        <v>0</v>
      </c>
      <c r="K19" s="4">
        <f t="shared" si="0"/>
        <v>1649</v>
      </c>
    </row>
    <row r="20" spans="1:11" x14ac:dyDescent="0.35">
      <c r="A20" s="3">
        <v>16</v>
      </c>
      <c r="B20" s="4" t="s">
        <v>30</v>
      </c>
      <c r="C20">
        <v>67</v>
      </c>
      <c r="D20">
        <v>187</v>
      </c>
      <c r="E20">
        <v>179</v>
      </c>
      <c r="F20">
        <v>205</v>
      </c>
      <c r="G20">
        <v>226</v>
      </c>
      <c r="H20">
        <v>607</v>
      </c>
      <c r="K20" s="4">
        <f>SUM(C20:J20)</f>
        <v>1471</v>
      </c>
    </row>
    <row r="21" spans="1:11" x14ac:dyDescent="0.35">
      <c r="B21" s="2" t="s">
        <v>12</v>
      </c>
      <c r="C21" s="4">
        <f>SUM(C4:C20)</f>
        <v>1791.0999999999997</v>
      </c>
      <c r="D21" s="4">
        <f t="shared" ref="D21:K21" si="1">SUM(D4:D20)</f>
        <v>4741.7400000000007</v>
      </c>
      <c r="E21" s="4">
        <f t="shared" si="1"/>
        <v>4387.97</v>
      </c>
      <c r="F21" s="4">
        <f t="shared" si="1"/>
        <v>4886.9999999999991</v>
      </c>
      <c r="G21" s="4">
        <f t="shared" si="1"/>
        <v>5345.7000000000007</v>
      </c>
      <c r="H21" s="4">
        <f t="shared" si="1"/>
        <v>3851.6</v>
      </c>
      <c r="I21" s="4">
        <f t="shared" si="1"/>
        <v>1531</v>
      </c>
      <c r="J21" s="4">
        <f t="shared" si="1"/>
        <v>0</v>
      </c>
      <c r="K21" s="4">
        <f t="shared" si="1"/>
        <v>26536.109999999997</v>
      </c>
    </row>
    <row r="23" spans="1:11" x14ac:dyDescent="0.35">
      <c r="A23" t="s">
        <v>31</v>
      </c>
    </row>
  </sheetData>
  <mergeCells count="1">
    <mergeCell ref="A1:J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91466-FC73-4DB7-9FBB-7981A10BE99C}">
  <dimension ref="A1:K52"/>
  <sheetViews>
    <sheetView workbookViewId="0">
      <selection sqref="A1:H1"/>
    </sheetView>
  </sheetViews>
  <sheetFormatPr baseColWidth="10" defaultRowHeight="14.5" x14ac:dyDescent="0.35"/>
  <cols>
    <col min="2" max="2" width="47.7265625" customWidth="1"/>
    <col min="10" max="10" width="14.7265625" customWidth="1"/>
  </cols>
  <sheetData>
    <row r="1" spans="1:11" x14ac:dyDescent="0.35">
      <c r="A1" s="9" t="s">
        <v>40</v>
      </c>
      <c r="B1" s="10"/>
      <c r="C1" s="10"/>
      <c r="D1" s="10"/>
      <c r="E1" s="10"/>
      <c r="F1" s="10"/>
      <c r="G1" s="10"/>
      <c r="H1" s="11"/>
    </row>
    <row r="3" spans="1:11" x14ac:dyDescent="0.35">
      <c r="A3" s="4"/>
    </row>
    <row r="5" spans="1:11" x14ac:dyDescent="0.3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x14ac:dyDescent="0.35">
      <c r="A6" s="3">
        <v>1</v>
      </c>
      <c r="B6" s="4" t="s">
        <v>13</v>
      </c>
      <c r="C6">
        <f>12+1+49</f>
        <v>62</v>
      </c>
      <c r="D6">
        <f>1+9+76</f>
        <v>86</v>
      </c>
      <c r="E6">
        <f>11+85</f>
        <v>96</v>
      </c>
      <c r="F6">
        <f>2+1+59</f>
        <v>62</v>
      </c>
      <c r="G6">
        <f>2+194</f>
        <v>196</v>
      </c>
      <c r="H6">
        <f>2+166</f>
        <v>168</v>
      </c>
      <c r="I6">
        <f>1+89</f>
        <v>90</v>
      </c>
      <c r="J6">
        <f>42+42</f>
        <v>84</v>
      </c>
      <c r="K6" s="4">
        <f>SUM(C6:J6)</f>
        <v>844</v>
      </c>
    </row>
    <row r="7" spans="1:11" x14ac:dyDescent="0.35">
      <c r="A7" s="3">
        <v>2</v>
      </c>
      <c r="B7" s="4" t="s">
        <v>14</v>
      </c>
      <c r="C7">
        <f>6+7+108</f>
        <v>121</v>
      </c>
      <c r="D7">
        <f>3+6+58</f>
        <v>67</v>
      </c>
      <c r="E7">
        <f>6+2+20</f>
        <v>28</v>
      </c>
      <c r="F7">
        <f>4+2+16</f>
        <v>22</v>
      </c>
      <c r="G7">
        <f>6+2+135</f>
        <v>143</v>
      </c>
      <c r="H7">
        <f>1+219</f>
        <v>220</v>
      </c>
      <c r="I7">
        <v>111</v>
      </c>
      <c r="J7">
        <f>44+44</f>
        <v>88</v>
      </c>
      <c r="K7" s="4">
        <f t="shared" ref="K7:K25" si="0">SUM(C7:J7)</f>
        <v>800</v>
      </c>
    </row>
    <row r="8" spans="1:11" x14ac:dyDescent="0.35">
      <c r="A8" s="3">
        <v>3</v>
      </c>
      <c r="B8" s="4" t="s">
        <v>15</v>
      </c>
      <c r="C8">
        <f>13+397</f>
        <v>410</v>
      </c>
      <c r="D8">
        <f>2+34+220</f>
        <v>256</v>
      </c>
      <c r="E8">
        <f>13+6+150</f>
        <v>169</v>
      </c>
      <c r="F8">
        <f>14+7+87</f>
        <v>108</v>
      </c>
      <c r="G8">
        <f>24+4+466</f>
        <v>494</v>
      </c>
      <c r="H8">
        <f>26+575</f>
        <v>601</v>
      </c>
      <c r="I8">
        <f>4+277</f>
        <v>281</v>
      </c>
      <c r="J8">
        <f>165+3</f>
        <v>168</v>
      </c>
      <c r="K8" s="4">
        <f t="shared" si="0"/>
        <v>2487</v>
      </c>
    </row>
    <row r="9" spans="1:11" x14ac:dyDescent="0.35">
      <c r="A9" s="3">
        <v>4</v>
      </c>
      <c r="B9" s="4" t="s">
        <v>16</v>
      </c>
      <c r="C9">
        <f>3+7+56</f>
        <v>66</v>
      </c>
      <c r="D9">
        <f>9+34+220</f>
        <v>263</v>
      </c>
      <c r="E9">
        <f>15+24+38</f>
        <v>77</v>
      </c>
      <c r="F9">
        <f>14+12+16</f>
        <v>42</v>
      </c>
      <c r="G9">
        <f>13+2+242</f>
        <v>257</v>
      </c>
      <c r="H9">
        <f>10+424</f>
        <v>434</v>
      </c>
      <c r="I9">
        <f>9+181</f>
        <v>190</v>
      </c>
      <c r="J9">
        <f>3+140</f>
        <v>143</v>
      </c>
      <c r="K9" s="4">
        <f t="shared" si="0"/>
        <v>1472</v>
      </c>
    </row>
    <row r="10" spans="1:11" x14ac:dyDescent="0.35">
      <c r="A10" s="3">
        <v>5</v>
      </c>
      <c r="B10" s="4" t="s">
        <v>17</v>
      </c>
      <c r="C10">
        <f>4+22</f>
        <v>26</v>
      </c>
      <c r="D10">
        <f>9+57+67</f>
        <v>133</v>
      </c>
      <c r="E10">
        <f>10+22+32</f>
        <v>64</v>
      </c>
      <c r="F10">
        <f>9+10+19</f>
        <v>38</v>
      </c>
      <c r="G10">
        <f>14+8+169</f>
        <v>191</v>
      </c>
      <c r="H10">
        <f>4+2+223</f>
        <v>229</v>
      </c>
      <c r="I10">
        <v>66</v>
      </c>
      <c r="J10">
        <v>21</v>
      </c>
      <c r="K10" s="4">
        <f t="shared" si="0"/>
        <v>768</v>
      </c>
    </row>
    <row r="11" spans="1:11" x14ac:dyDescent="0.35">
      <c r="A11" s="5">
        <v>6</v>
      </c>
      <c r="B11" s="4" t="s">
        <v>32</v>
      </c>
      <c r="C11">
        <v>266</v>
      </c>
      <c r="D11">
        <v>134</v>
      </c>
      <c r="E11">
        <v>66</v>
      </c>
      <c r="F11">
        <v>3</v>
      </c>
      <c r="G11">
        <v>2</v>
      </c>
      <c r="K11" s="4">
        <f t="shared" si="0"/>
        <v>471</v>
      </c>
    </row>
    <row r="12" spans="1:11" x14ac:dyDescent="0.35">
      <c r="B12" s="4" t="s">
        <v>18</v>
      </c>
      <c r="C12">
        <f>20+90</f>
        <v>110</v>
      </c>
      <c r="D12">
        <f>20+90</f>
        <v>110</v>
      </c>
      <c r="E12">
        <f>10+29</f>
        <v>39</v>
      </c>
      <c r="F12">
        <f>6+19</f>
        <v>25</v>
      </c>
      <c r="G12">
        <f>19+12</f>
        <v>31</v>
      </c>
      <c r="H12">
        <f>3+2</f>
        <v>5</v>
      </c>
      <c r="I12">
        <v>0</v>
      </c>
      <c r="J12">
        <v>0</v>
      </c>
      <c r="K12" s="4">
        <f t="shared" si="0"/>
        <v>320</v>
      </c>
    </row>
    <row r="13" spans="1:11" x14ac:dyDescent="0.35">
      <c r="A13" s="5"/>
      <c r="B13" s="4" t="s">
        <v>19</v>
      </c>
      <c r="C13">
        <f>14+27+119</f>
        <v>160</v>
      </c>
      <c r="D13">
        <f>43+229+86</f>
        <v>358</v>
      </c>
      <c r="E13">
        <f>42+84+40</f>
        <v>166</v>
      </c>
      <c r="F13">
        <f>14+30+41</f>
        <v>85</v>
      </c>
      <c r="G13">
        <f>18+22+297</f>
        <v>337</v>
      </c>
      <c r="H13">
        <f>6+6+505</f>
        <v>517</v>
      </c>
      <c r="I13">
        <f>3+255</f>
        <v>258</v>
      </c>
      <c r="J13">
        <v>252</v>
      </c>
      <c r="K13" s="4">
        <f t="shared" si="0"/>
        <v>2133</v>
      </c>
    </row>
    <row r="14" spans="1:11" x14ac:dyDescent="0.35">
      <c r="A14" s="3"/>
      <c r="B14" s="4" t="s">
        <v>20</v>
      </c>
      <c r="C14">
        <f>87+364+5</f>
        <v>456</v>
      </c>
      <c r="D14">
        <f>29+360+4</f>
        <v>393</v>
      </c>
      <c r="E14">
        <f>24+103+20</f>
        <v>147</v>
      </c>
      <c r="F14">
        <f>28+58+34</f>
        <v>120</v>
      </c>
      <c r="G14">
        <f>77+85+260</f>
        <v>422</v>
      </c>
      <c r="H14">
        <f>23+5+419</f>
        <v>447</v>
      </c>
      <c r="I14">
        <f>3+1+144</f>
        <v>148</v>
      </c>
      <c r="J14">
        <v>85</v>
      </c>
      <c r="K14" s="4">
        <f t="shared" si="0"/>
        <v>2218</v>
      </c>
    </row>
    <row r="15" spans="1:11" x14ac:dyDescent="0.35">
      <c r="A15" s="3"/>
      <c r="B15" s="4" t="s">
        <v>33</v>
      </c>
      <c r="G15">
        <v>31</v>
      </c>
      <c r="H15">
        <v>103</v>
      </c>
      <c r="I15">
        <v>97</v>
      </c>
      <c r="J15">
        <v>133</v>
      </c>
      <c r="K15" s="4">
        <f t="shared" si="0"/>
        <v>364</v>
      </c>
    </row>
    <row r="16" spans="1:11" x14ac:dyDescent="0.35">
      <c r="A16" s="3">
        <v>7</v>
      </c>
      <c r="B16" s="4" t="s">
        <v>21</v>
      </c>
      <c r="C16">
        <f>8+21+109</f>
        <v>138</v>
      </c>
      <c r="D16">
        <f>25+102+72</f>
        <v>199</v>
      </c>
      <c r="E16">
        <f>13+23+13</f>
        <v>49</v>
      </c>
      <c r="F16">
        <f>11+12+18</f>
        <v>41</v>
      </c>
      <c r="G16">
        <f>26+19+94</f>
        <v>139</v>
      </c>
      <c r="H16">
        <f>12+1+212</f>
        <v>225</v>
      </c>
      <c r="I16">
        <f>1+147</f>
        <v>148</v>
      </c>
      <c r="J16">
        <v>149</v>
      </c>
      <c r="K16" s="4">
        <f t="shared" si="0"/>
        <v>1088</v>
      </c>
    </row>
    <row r="17" spans="1:11" x14ac:dyDescent="0.35">
      <c r="A17" s="3">
        <v>8</v>
      </c>
      <c r="B17" s="4" t="s">
        <v>22</v>
      </c>
      <c r="C17">
        <f>7+18+47</f>
        <v>72</v>
      </c>
      <c r="D17">
        <f>8+37+71</f>
        <v>116</v>
      </c>
      <c r="E17">
        <f>4+25+124</f>
        <v>153</v>
      </c>
      <c r="F17">
        <f>1+4+53</f>
        <v>58</v>
      </c>
      <c r="G17">
        <f>7+11+205</f>
        <v>223</v>
      </c>
      <c r="H17">
        <f>2+0+208</f>
        <v>210</v>
      </c>
      <c r="I17">
        <v>104</v>
      </c>
      <c r="J17">
        <v>103</v>
      </c>
      <c r="K17" s="4">
        <f t="shared" si="0"/>
        <v>1039</v>
      </c>
    </row>
    <row r="18" spans="1:11" x14ac:dyDescent="0.35">
      <c r="A18" s="3">
        <v>9</v>
      </c>
      <c r="B18" s="4" t="s">
        <v>23</v>
      </c>
      <c r="C18">
        <f>9+3+15</f>
        <v>27</v>
      </c>
      <c r="D18">
        <f>13+24+6</f>
        <v>43</v>
      </c>
      <c r="E18">
        <f>1+20+8</f>
        <v>29</v>
      </c>
      <c r="F18">
        <f>0+3+8</f>
        <v>11</v>
      </c>
      <c r="G18">
        <f>2+5+37</f>
        <v>44</v>
      </c>
      <c r="H18">
        <f>3+0+95</f>
        <v>98</v>
      </c>
      <c r="I18">
        <v>48</v>
      </c>
      <c r="J18">
        <f>1+71</f>
        <v>72</v>
      </c>
      <c r="K18" s="4">
        <f t="shared" si="0"/>
        <v>372</v>
      </c>
    </row>
    <row r="19" spans="1:11" x14ac:dyDescent="0.35">
      <c r="A19" s="5">
        <v>11</v>
      </c>
      <c r="B19" s="4" t="s">
        <v>24</v>
      </c>
      <c r="C19">
        <f>4+15</f>
        <v>19</v>
      </c>
      <c r="D19">
        <f>1+6+9</f>
        <v>16</v>
      </c>
      <c r="E19">
        <f>1+9+19</f>
        <v>29</v>
      </c>
      <c r="F19">
        <f>3+1+14</f>
        <v>18</v>
      </c>
      <c r="G19">
        <f>2+4+37</f>
        <v>43</v>
      </c>
      <c r="H19">
        <f>2+71</f>
        <v>73</v>
      </c>
      <c r="I19">
        <f>1+26</f>
        <v>27</v>
      </c>
      <c r="J19">
        <f>1+15</f>
        <v>16</v>
      </c>
      <c r="K19" s="4">
        <f t="shared" si="0"/>
        <v>241</v>
      </c>
    </row>
    <row r="20" spans="1:11" x14ac:dyDescent="0.35">
      <c r="A20" s="3"/>
      <c r="B20" s="4" t="s">
        <v>25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166</v>
      </c>
      <c r="K20" s="4">
        <f t="shared" si="0"/>
        <v>166</v>
      </c>
    </row>
    <row r="21" spans="1:11" x14ac:dyDescent="0.35">
      <c r="A21" s="3">
        <v>12</v>
      </c>
      <c r="B21" s="4" t="s">
        <v>26</v>
      </c>
      <c r="C21">
        <f>8+12+78</f>
        <v>98</v>
      </c>
      <c r="D21">
        <f>15+75+133</f>
        <v>223</v>
      </c>
      <c r="E21">
        <f>14+23+129</f>
        <v>166</v>
      </c>
      <c r="F21">
        <f>19+14+87</f>
        <v>120</v>
      </c>
      <c r="G21">
        <f>23+14+341</f>
        <v>378</v>
      </c>
      <c r="H21">
        <f>16+375</f>
        <v>391</v>
      </c>
      <c r="I21">
        <f>5+158</f>
        <v>163</v>
      </c>
      <c r="J21">
        <f>2+166</f>
        <v>168</v>
      </c>
      <c r="K21" s="4">
        <f t="shared" si="0"/>
        <v>1707</v>
      </c>
    </row>
    <row r="22" spans="1:11" x14ac:dyDescent="0.35">
      <c r="A22" s="3">
        <v>13</v>
      </c>
      <c r="B22" s="4" t="s">
        <v>27</v>
      </c>
      <c r="C22">
        <f>10+23+44</f>
        <v>77</v>
      </c>
      <c r="D22">
        <f>10+62+39</f>
        <v>111</v>
      </c>
      <c r="E22">
        <f>9+21+4</f>
        <v>34</v>
      </c>
      <c r="F22">
        <f>14+15+11</f>
        <v>40</v>
      </c>
      <c r="G22">
        <f>18+6+134</f>
        <v>158</v>
      </c>
      <c r="H22">
        <f>7+2+258</f>
        <v>267</v>
      </c>
      <c r="I22">
        <f>4+164</f>
        <v>168</v>
      </c>
      <c r="J22">
        <v>168</v>
      </c>
      <c r="K22" s="4">
        <f t="shared" si="0"/>
        <v>1023</v>
      </c>
    </row>
    <row r="23" spans="1:11" x14ac:dyDescent="0.35">
      <c r="A23" s="3">
        <v>14</v>
      </c>
      <c r="B23" s="4" t="s">
        <v>28</v>
      </c>
      <c r="C23">
        <f>9+14+93</f>
        <v>116</v>
      </c>
      <c r="D23">
        <f>19+122+115</f>
        <v>256</v>
      </c>
      <c r="E23">
        <f>19+66+37</f>
        <v>122</v>
      </c>
      <c r="F23">
        <f>9+17+20</f>
        <v>46</v>
      </c>
      <c r="G23">
        <f>10+13+182</f>
        <v>205</v>
      </c>
      <c r="H23">
        <f>3+289</f>
        <v>292</v>
      </c>
      <c r="I23">
        <v>189</v>
      </c>
      <c r="J23">
        <v>172</v>
      </c>
      <c r="K23" s="4">
        <f t="shared" si="0"/>
        <v>1398</v>
      </c>
    </row>
    <row r="24" spans="1:11" x14ac:dyDescent="0.35">
      <c r="A24" s="3">
        <v>15</v>
      </c>
      <c r="B24" s="4" t="s">
        <v>29</v>
      </c>
      <c r="C24">
        <f>8+8+78</f>
        <v>94</v>
      </c>
      <c r="D24">
        <f>3+44+130</f>
        <v>177</v>
      </c>
      <c r="E24">
        <f>3+17+59</f>
        <v>79</v>
      </c>
      <c r="F24">
        <f>11+6+24</f>
        <v>41</v>
      </c>
      <c r="G24">
        <f>11+12+218</f>
        <v>241</v>
      </c>
      <c r="H24">
        <f>2+1+396</f>
        <v>399</v>
      </c>
      <c r="I24">
        <f>1+182</f>
        <v>183</v>
      </c>
      <c r="J24">
        <v>127</v>
      </c>
      <c r="K24" s="4">
        <f t="shared" si="0"/>
        <v>1341</v>
      </c>
    </row>
    <row r="25" spans="1:11" x14ac:dyDescent="0.35">
      <c r="A25" s="3">
        <v>16</v>
      </c>
      <c r="B25" s="4" t="s">
        <v>30</v>
      </c>
      <c r="C25">
        <f>6+119+212</f>
        <v>337</v>
      </c>
      <c r="D25">
        <f>25+592+159</f>
        <v>776</v>
      </c>
      <c r="E25">
        <f>20+190+88</f>
        <v>298</v>
      </c>
      <c r="F25">
        <f>16+34+58</f>
        <v>108</v>
      </c>
      <c r="G25">
        <f>52+29+361</f>
        <v>442</v>
      </c>
      <c r="H25">
        <f>31+6+626</f>
        <v>663</v>
      </c>
      <c r="I25">
        <f>3+379</f>
        <v>382</v>
      </c>
      <c r="J25">
        <v>324</v>
      </c>
      <c r="K25" s="4">
        <f t="shared" si="0"/>
        <v>3330</v>
      </c>
    </row>
    <row r="26" spans="1:11" x14ac:dyDescent="0.35">
      <c r="B26" s="2" t="s">
        <v>12</v>
      </c>
      <c r="C26" s="4">
        <f>SUM(C6:C25)</f>
        <v>2655</v>
      </c>
      <c r="D26" s="4">
        <f t="shared" ref="D26:K26" si="1">SUM(D6:D25)</f>
        <v>3717</v>
      </c>
      <c r="E26" s="4">
        <f t="shared" si="1"/>
        <v>1811</v>
      </c>
      <c r="F26" s="4">
        <f t="shared" si="1"/>
        <v>988</v>
      </c>
      <c r="G26" s="4">
        <f t="shared" si="1"/>
        <v>3977</v>
      </c>
      <c r="H26" s="4">
        <f t="shared" si="1"/>
        <v>5342</v>
      </c>
      <c r="I26" s="4">
        <f t="shared" si="1"/>
        <v>2653</v>
      </c>
      <c r="J26" s="4">
        <f t="shared" si="1"/>
        <v>2439</v>
      </c>
      <c r="K26" s="4">
        <f t="shared" si="1"/>
        <v>23582</v>
      </c>
    </row>
    <row r="28" spans="1:11" x14ac:dyDescent="0.35">
      <c r="A28" t="s">
        <v>31</v>
      </c>
    </row>
    <row r="30" spans="1:11" x14ac:dyDescent="0.35">
      <c r="A30" s="4"/>
    </row>
    <row r="32" spans="1:11" x14ac:dyDescent="0.35">
      <c r="A32" s="4"/>
    </row>
    <row r="35" spans="1:2" x14ac:dyDescent="0.35">
      <c r="A35" s="3"/>
      <c r="B35" s="4"/>
    </row>
    <row r="36" spans="1:2" x14ac:dyDescent="0.35">
      <c r="A36" s="3"/>
      <c r="B36" s="4"/>
    </row>
    <row r="37" spans="1:2" x14ac:dyDescent="0.35">
      <c r="A37" s="3"/>
      <c r="B37" s="4"/>
    </row>
    <row r="38" spans="1:2" x14ac:dyDescent="0.35">
      <c r="A38" s="3"/>
      <c r="B38" s="4"/>
    </row>
    <row r="39" spans="1:2" x14ac:dyDescent="0.35">
      <c r="A39" s="3"/>
      <c r="B39" s="4"/>
    </row>
    <row r="40" spans="1:2" x14ac:dyDescent="0.35">
      <c r="A40" s="5"/>
      <c r="B40" s="4"/>
    </row>
    <row r="41" spans="1:2" x14ac:dyDescent="0.35">
      <c r="A41" s="5"/>
      <c r="B41" s="4"/>
    </row>
    <row r="42" spans="1:2" x14ac:dyDescent="0.35">
      <c r="A42" s="5"/>
      <c r="B42" s="4"/>
    </row>
    <row r="43" spans="1:2" x14ac:dyDescent="0.35">
      <c r="A43" s="3"/>
      <c r="B43" s="4"/>
    </row>
    <row r="44" spans="1:2" x14ac:dyDescent="0.35">
      <c r="A44" s="3"/>
      <c r="B44" s="4"/>
    </row>
    <row r="45" spans="1:2" x14ac:dyDescent="0.35">
      <c r="A45" s="3"/>
      <c r="B45" s="4"/>
    </row>
    <row r="46" spans="1:2" x14ac:dyDescent="0.35">
      <c r="A46" s="3"/>
      <c r="B46" s="4"/>
    </row>
    <row r="47" spans="1:2" x14ac:dyDescent="0.35">
      <c r="A47" s="3"/>
      <c r="B47" s="4"/>
    </row>
    <row r="48" spans="1:2" x14ac:dyDescent="0.35">
      <c r="A48" s="3"/>
      <c r="B48" s="4"/>
    </row>
    <row r="49" spans="1:2" x14ac:dyDescent="0.35">
      <c r="A49" s="3"/>
      <c r="B49" s="4"/>
    </row>
    <row r="50" spans="1:2" x14ac:dyDescent="0.35">
      <c r="A50" s="3"/>
      <c r="B50" s="4"/>
    </row>
    <row r="51" spans="1:2" x14ac:dyDescent="0.35">
      <c r="A51" s="3"/>
      <c r="B51" s="4"/>
    </row>
    <row r="52" spans="1:2" x14ac:dyDescent="0.35">
      <c r="A52" s="3"/>
      <c r="B52" s="4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7EDAF-CA80-4E6F-A86C-A9B34DF43FFC}">
  <dimension ref="A1:K50"/>
  <sheetViews>
    <sheetView workbookViewId="0">
      <selection sqref="A1:H1"/>
    </sheetView>
  </sheetViews>
  <sheetFormatPr baseColWidth="10" defaultRowHeight="14.5" x14ac:dyDescent="0.35"/>
  <cols>
    <col min="2" max="2" width="47" customWidth="1"/>
    <col min="10" max="10" width="13.453125" customWidth="1"/>
  </cols>
  <sheetData>
    <row r="1" spans="1:11" x14ac:dyDescent="0.35">
      <c r="A1" s="9" t="s">
        <v>43</v>
      </c>
      <c r="B1" s="10"/>
      <c r="C1" s="10"/>
      <c r="D1" s="10"/>
      <c r="E1" s="10"/>
      <c r="F1" s="10"/>
      <c r="G1" s="10"/>
      <c r="H1" s="11"/>
    </row>
    <row r="3" spans="1:11" x14ac:dyDescent="0.35">
      <c r="A3" s="4"/>
    </row>
    <row r="5" spans="1:11" x14ac:dyDescent="0.3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x14ac:dyDescent="0.35">
      <c r="A6" s="3">
        <v>1</v>
      </c>
      <c r="B6" s="4" t="s">
        <v>13</v>
      </c>
      <c r="C6">
        <f>184.7+44+142.2</f>
        <v>370.9</v>
      </c>
      <c r="D6">
        <f>78+74.9+84.5</f>
        <v>237.4</v>
      </c>
      <c r="E6">
        <f>91.5+15.8</f>
        <v>107.3</v>
      </c>
      <c r="F6">
        <f>232+233+159.9</f>
        <v>624.9</v>
      </c>
      <c r="G6">
        <f>189+20</f>
        <v>209</v>
      </c>
      <c r="H6">
        <f>23.5+40.8</f>
        <v>64.3</v>
      </c>
      <c r="I6">
        <f>160+48.8</f>
        <v>208.8</v>
      </c>
      <c r="J6">
        <v>57.7</v>
      </c>
      <c r="K6" s="4">
        <f>SUM(C6:J6)</f>
        <v>1880.3</v>
      </c>
    </row>
    <row r="7" spans="1:11" x14ac:dyDescent="0.35">
      <c r="A7" s="3">
        <v>2</v>
      </c>
      <c r="B7" s="4" t="s">
        <v>14</v>
      </c>
      <c r="C7">
        <f>161.5+78+66.39</f>
        <v>305.89</v>
      </c>
      <c r="D7">
        <f>183.3+194.3+218</f>
        <v>595.6</v>
      </c>
      <c r="E7">
        <f>172.6+166+142.5</f>
        <v>481.1</v>
      </c>
      <c r="F7">
        <f>166.2+146.5+32.43</f>
        <v>345.13</v>
      </c>
      <c r="G7">
        <f>193.3+712+56.62</f>
        <v>961.92</v>
      </c>
      <c r="H7">
        <v>41.27</v>
      </c>
      <c r="I7">
        <v>34.36</v>
      </c>
      <c r="J7">
        <v>33.630000000000003</v>
      </c>
      <c r="K7" s="4">
        <f t="shared" ref="K7:K25" si="0">SUM(C7:J7)</f>
        <v>2798.9000000000005</v>
      </c>
    </row>
    <row r="8" spans="1:11" x14ac:dyDescent="0.35">
      <c r="A8" s="3">
        <v>3</v>
      </c>
      <c r="B8" s="4" t="s">
        <v>15</v>
      </c>
      <c r="C8">
        <f>30.92+63.16</f>
        <v>94.08</v>
      </c>
      <c r="D8">
        <f>55.5+211.5+103.1</f>
        <v>370.1</v>
      </c>
      <c r="E8">
        <f>230.7+391.8+25.95</f>
        <v>648.45000000000005</v>
      </c>
      <c r="F8">
        <f>115.4+223.9+70.8</f>
        <v>410.1</v>
      </c>
      <c r="G8">
        <f>356.1+125.5+66.11</f>
        <v>547.71</v>
      </c>
      <c r="H8">
        <f>515.7+75.76</f>
        <v>591.46</v>
      </c>
      <c r="I8">
        <f>762.5+84.4</f>
        <v>846.9</v>
      </c>
      <c r="J8">
        <f>295.6+74.04</f>
        <v>369.64000000000004</v>
      </c>
      <c r="K8" s="4">
        <f t="shared" si="0"/>
        <v>3878.44</v>
      </c>
    </row>
    <row r="9" spans="1:11" x14ac:dyDescent="0.35">
      <c r="A9" s="3">
        <v>4</v>
      </c>
      <c r="B9" s="4" t="s">
        <v>16</v>
      </c>
      <c r="C9">
        <f>21.67+23.43+32.5</f>
        <v>77.599999999999994</v>
      </c>
      <c r="D9">
        <f>114.4+98.74+184.6</f>
        <v>397.74</v>
      </c>
      <c r="E9">
        <f>107+81.67+135.6</f>
        <v>324.27</v>
      </c>
      <c r="F9">
        <f>112.7+135.8+86.5</f>
        <v>335</v>
      </c>
      <c r="G9">
        <f>79+126.5+77.8</f>
        <v>283.3</v>
      </c>
      <c r="H9">
        <f>116.3+79.1</f>
        <v>195.39999999999998</v>
      </c>
      <c r="I9">
        <f>97.78+61.5</f>
        <v>159.28</v>
      </c>
      <c r="J9">
        <f>84.67+54.7</f>
        <v>139.37</v>
      </c>
      <c r="K9" s="4">
        <f t="shared" si="0"/>
        <v>1911.96</v>
      </c>
    </row>
    <row r="10" spans="1:11" x14ac:dyDescent="0.35">
      <c r="A10" s="3">
        <v>5</v>
      </c>
      <c r="B10" s="4" t="s">
        <v>17</v>
      </c>
      <c r="C10">
        <f>128+39</f>
        <v>167</v>
      </c>
      <c r="D10">
        <f>295+309+139</f>
        <v>743</v>
      </c>
      <c r="E10">
        <f>202+351+82</f>
        <v>635</v>
      </c>
      <c r="F10">
        <f>242+350+75</f>
        <v>667</v>
      </c>
      <c r="G10">
        <f>239+258+86</f>
        <v>583</v>
      </c>
      <c r="H10">
        <f>158+173+90</f>
        <v>421</v>
      </c>
      <c r="I10">
        <v>66</v>
      </c>
      <c r="J10">
        <v>111</v>
      </c>
      <c r="K10" s="4">
        <f t="shared" si="0"/>
        <v>3393</v>
      </c>
    </row>
    <row r="11" spans="1:11" x14ac:dyDescent="0.35">
      <c r="A11" s="5">
        <v>6</v>
      </c>
      <c r="B11" s="4" t="s">
        <v>32</v>
      </c>
      <c r="C11">
        <v>135.1</v>
      </c>
      <c r="D11">
        <v>166.7</v>
      </c>
      <c r="E11">
        <v>104.4</v>
      </c>
      <c r="F11">
        <v>74.3</v>
      </c>
      <c r="G11">
        <v>203</v>
      </c>
      <c r="K11" s="4">
        <f t="shared" si="0"/>
        <v>683.5</v>
      </c>
    </row>
    <row r="12" spans="1:11" x14ac:dyDescent="0.35">
      <c r="B12" s="4" t="s">
        <v>18</v>
      </c>
      <c r="C12">
        <f>379.3+273.8</f>
        <v>653.1</v>
      </c>
      <c r="D12">
        <f>428.3+243.9</f>
        <v>672.2</v>
      </c>
      <c r="E12">
        <f>242.8+197.8</f>
        <v>440.6</v>
      </c>
      <c r="F12">
        <f>287.3+280.2</f>
        <v>567.5</v>
      </c>
      <c r="G12">
        <f>627.4+313.4</f>
        <v>940.8</v>
      </c>
      <c r="H12">
        <f>312.3+220</f>
        <v>532.29999999999995</v>
      </c>
      <c r="I12">
        <v>0</v>
      </c>
      <c r="J12">
        <v>0</v>
      </c>
      <c r="K12" s="4">
        <f t="shared" si="0"/>
        <v>3806.5</v>
      </c>
    </row>
    <row r="13" spans="1:11" x14ac:dyDescent="0.35">
      <c r="A13" s="5"/>
      <c r="B13" s="4" t="s">
        <v>19</v>
      </c>
      <c r="C13">
        <f>255.7+143.5+282</f>
        <v>681.2</v>
      </c>
      <c r="D13">
        <f>457+460.8+230</f>
        <v>1147.8</v>
      </c>
      <c r="E13">
        <f>528+586.5+111</f>
        <v>1225.5</v>
      </c>
      <c r="F13">
        <f>561.7+649.8+103</f>
        <v>1314.5</v>
      </c>
      <c r="G13">
        <f>465.7+404.1+117</f>
        <v>986.8</v>
      </c>
      <c r="H13">
        <f>878.8+419.8+118</f>
        <v>1416.6</v>
      </c>
      <c r="I13">
        <f>969+92</f>
        <v>1061</v>
      </c>
      <c r="J13">
        <v>77</v>
      </c>
      <c r="K13" s="4">
        <f t="shared" si="0"/>
        <v>7910.4</v>
      </c>
    </row>
    <row r="14" spans="1:11" x14ac:dyDescent="0.35">
      <c r="A14" s="3"/>
      <c r="B14" s="4" t="s">
        <v>20</v>
      </c>
      <c r="C14">
        <f>234.2+249.5+226.9</f>
        <v>710.6</v>
      </c>
      <c r="D14">
        <f>228.4+860.1+190.3</f>
        <v>1278.8</v>
      </c>
      <c r="E14">
        <f>236.2+578+92.6</f>
        <v>906.80000000000007</v>
      </c>
      <c r="F14">
        <f>230.8+614.5+58</f>
        <v>903.3</v>
      </c>
      <c r="G14">
        <f>633.3+794+98.9</f>
        <v>1526.2</v>
      </c>
      <c r="H14">
        <f>599.6+310.8+68.7</f>
        <v>979.10000000000014</v>
      </c>
      <c r="I14">
        <f>1291+1371+69.7</f>
        <v>2731.7</v>
      </c>
      <c r="J14">
        <v>67.8</v>
      </c>
      <c r="K14" s="4">
        <f t="shared" si="0"/>
        <v>9104.2999999999993</v>
      </c>
    </row>
    <row r="15" spans="1:11" x14ac:dyDescent="0.35">
      <c r="A15" s="3"/>
      <c r="B15" s="4" t="s">
        <v>33</v>
      </c>
      <c r="G15">
        <v>15</v>
      </c>
      <c r="H15">
        <v>25</v>
      </c>
      <c r="I15">
        <v>27</v>
      </c>
      <c r="J15">
        <v>33</v>
      </c>
      <c r="K15" s="4">
        <f t="shared" si="0"/>
        <v>100</v>
      </c>
    </row>
    <row r="16" spans="1:11" x14ac:dyDescent="0.35">
      <c r="A16" s="3">
        <v>7</v>
      </c>
      <c r="B16" s="4" t="s">
        <v>21</v>
      </c>
      <c r="C16">
        <f>153+27.5+136.7</f>
        <v>317.2</v>
      </c>
      <c r="D16">
        <f>208.2+163.4+135.7</f>
        <v>507.3</v>
      </c>
      <c r="E16">
        <f>216.6+166.5+80.69</f>
        <v>463.79</v>
      </c>
      <c r="F16">
        <f>125+143.1+101.2</f>
        <v>369.3</v>
      </c>
      <c r="G16">
        <f>175.6+189.9+151</f>
        <v>516.5</v>
      </c>
      <c r="H16">
        <f>282+324+125.1</f>
        <v>731.1</v>
      </c>
      <c r="I16">
        <f>146+100.4</f>
        <v>246.4</v>
      </c>
      <c r="J16">
        <v>117.2</v>
      </c>
      <c r="K16" s="4">
        <f t="shared" si="0"/>
        <v>3268.79</v>
      </c>
    </row>
    <row r="17" spans="1:11" x14ac:dyDescent="0.35">
      <c r="A17" s="3">
        <v>8</v>
      </c>
      <c r="B17" s="4" t="s">
        <v>22</v>
      </c>
      <c r="C17">
        <f>128.1+339.1+153.3</f>
        <v>620.5</v>
      </c>
      <c r="D17">
        <f>150.3+350.6+95.84</f>
        <v>596.74</v>
      </c>
      <c r="E17">
        <f>109.2+430.4+35.83</f>
        <v>575.43000000000006</v>
      </c>
      <c r="F17">
        <f>216+709+22.58</f>
        <v>947.58</v>
      </c>
      <c r="G17">
        <f>214+444.8+41.5</f>
        <v>700.3</v>
      </c>
      <c r="H17">
        <f>46.5+43.01</f>
        <v>89.509999999999991</v>
      </c>
      <c r="I17">
        <v>56.97</v>
      </c>
      <c r="J17">
        <v>35</v>
      </c>
      <c r="K17" s="4">
        <f t="shared" si="0"/>
        <v>3622.03</v>
      </c>
    </row>
    <row r="18" spans="1:11" x14ac:dyDescent="0.35">
      <c r="A18" s="3">
        <v>9</v>
      </c>
      <c r="B18" s="4" t="s">
        <v>23</v>
      </c>
      <c r="C18">
        <f>182.6+202.3+81.33</f>
        <v>466.22999999999996</v>
      </c>
      <c r="D18">
        <f>350.2+255.3+357.5</f>
        <v>963</v>
      </c>
      <c r="E18">
        <f>266+273.3+59.87</f>
        <v>599.16999999999996</v>
      </c>
      <c r="F18">
        <f>0+313+107.3</f>
        <v>420.3</v>
      </c>
      <c r="G18">
        <f>49.5+272.8+88.89</f>
        <v>411.19</v>
      </c>
      <c r="H18">
        <f>446.6+63.62</f>
        <v>510.22</v>
      </c>
      <c r="I18">
        <v>44.37</v>
      </c>
      <c r="J18">
        <f>23+7.46</f>
        <v>30.46</v>
      </c>
      <c r="K18" s="4">
        <f t="shared" si="0"/>
        <v>3444.9400000000005</v>
      </c>
    </row>
    <row r="19" spans="1:11" x14ac:dyDescent="0.35">
      <c r="A19" s="3">
        <v>11</v>
      </c>
      <c r="B19" s="4" t="s">
        <v>24</v>
      </c>
      <c r="C19">
        <f>20+57.8</f>
        <v>77.8</v>
      </c>
      <c r="D19">
        <f>180+426.3+275.4</f>
        <v>881.69999999999993</v>
      </c>
      <c r="E19">
        <f>84+69.8+57.3</f>
        <v>211.10000000000002</v>
      </c>
      <c r="F19">
        <f>129.3+106+64.8</f>
        <v>300.10000000000002</v>
      </c>
      <c r="G19">
        <f>209+144.2+65.9</f>
        <v>419.1</v>
      </c>
      <c r="H19">
        <f>124.5+83.7</f>
        <v>208.2</v>
      </c>
      <c r="I19">
        <f>183+58.7</f>
        <v>241.7</v>
      </c>
      <c r="J19">
        <f>183+109.4</f>
        <v>292.39999999999998</v>
      </c>
      <c r="K19" s="4">
        <f t="shared" si="0"/>
        <v>2632.0999999999995</v>
      </c>
    </row>
    <row r="20" spans="1:11" x14ac:dyDescent="0.35">
      <c r="A20" s="3">
        <v>12</v>
      </c>
      <c r="B20" s="4" t="s">
        <v>26</v>
      </c>
      <c r="C20">
        <f>132+33.75+59.02</f>
        <v>224.77</v>
      </c>
      <c r="D20">
        <f>208.8+171.8+119.1</f>
        <v>499.70000000000005</v>
      </c>
      <c r="E20">
        <f>180.7+156.6+28.22</f>
        <v>365.52</v>
      </c>
      <c r="F20">
        <f>166.8+175.7+27.67</f>
        <v>370.17</v>
      </c>
      <c r="G20">
        <f>157.2+156.5+31.02</f>
        <v>344.71999999999997</v>
      </c>
      <c r="H20">
        <f>174.2+40.76</f>
        <v>214.95999999999998</v>
      </c>
      <c r="I20">
        <f>116.2+38.25</f>
        <v>154.44999999999999</v>
      </c>
      <c r="J20">
        <f>25+45.6</f>
        <v>70.599999999999994</v>
      </c>
      <c r="K20" s="4">
        <f t="shared" si="0"/>
        <v>2244.89</v>
      </c>
    </row>
    <row r="21" spans="1:11" x14ac:dyDescent="0.35">
      <c r="A21" s="3">
        <v>13</v>
      </c>
      <c r="B21" s="4" t="s">
        <v>27</v>
      </c>
      <c r="C21">
        <f>68.8+52.6+80</f>
        <v>201.4</v>
      </c>
      <c r="D21">
        <f>341.7+383+212.2</f>
        <v>936.90000000000009</v>
      </c>
      <c r="E21">
        <f>263+268.2+247</f>
        <v>778.2</v>
      </c>
      <c r="F21">
        <f>190.6+307.3+52.27</f>
        <v>550.16999999999996</v>
      </c>
      <c r="G21">
        <f>820.3+284.7+119.3</f>
        <v>1224.3</v>
      </c>
      <c r="H21">
        <f>814.6+1470+107.1</f>
        <v>2391.6999999999998</v>
      </c>
      <c r="I21">
        <f>1152+124.8</f>
        <v>1276.8</v>
      </c>
      <c r="J21">
        <v>71.13</v>
      </c>
      <c r="K21" s="4">
        <f t="shared" si="0"/>
        <v>7430.6</v>
      </c>
    </row>
    <row r="22" spans="1:11" x14ac:dyDescent="0.35">
      <c r="A22" s="3">
        <v>14</v>
      </c>
      <c r="B22" s="4" t="s">
        <v>28</v>
      </c>
      <c r="C22">
        <f>135.2+44.6+113.5</f>
        <v>293.29999999999995</v>
      </c>
      <c r="D22">
        <f>220.6+178.4+205.4</f>
        <v>604.4</v>
      </c>
      <c r="E22">
        <f>162.2+162.3+120.6</f>
        <v>445.1</v>
      </c>
      <c r="F22">
        <f>242.7+135.9+90.6</f>
        <v>469.20000000000005</v>
      </c>
      <c r="G22">
        <f>142.3+173+46.34</f>
        <v>361.64</v>
      </c>
      <c r="H22">
        <f>105.3+50.75</f>
        <v>156.05000000000001</v>
      </c>
      <c r="I22">
        <v>36.81</v>
      </c>
      <c r="J22">
        <v>29.4</v>
      </c>
      <c r="K22" s="4">
        <f t="shared" si="0"/>
        <v>2395.9</v>
      </c>
    </row>
    <row r="23" spans="1:11" x14ac:dyDescent="0.35">
      <c r="A23" s="3">
        <v>15</v>
      </c>
      <c r="B23" s="4" t="s">
        <v>29</v>
      </c>
      <c r="C23">
        <f>45.4+33.1+158.7</f>
        <v>237.2</v>
      </c>
      <c r="D23">
        <f>130.7+172.7+179.4</f>
        <v>482.79999999999995</v>
      </c>
      <c r="E23">
        <f>270.7+237.6+85.36</f>
        <v>593.66</v>
      </c>
      <c r="F23">
        <f>117.4+158.3+166.6</f>
        <v>442.30000000000007</v>
      </c>
      <c r="G23">
        <f>674+720.3+118.1</f>
        <v>1512.3999999999999</v>
      </c>
      <c r="H23">
        <f>1075+327+127.1</f>
        <v>1529.1</v>
      </c>
      <c r="I23">
        <f>450+131.4</f>
        <v>581.4</v>
      </c>
      <c r="J23">
        <v>105.7</v>
      </c>
      <c r="K23" s="4">
        <f t="shared" si="0"/>
        <v>5484.5599999999986</v>
      </c>
    </row>
    <row r="24" spans="1:11" x14ac:dyDescent="0.35">
      <c r="A24" s="3">
        <v>16</v>
      </c>
      <c r="B24" s="4" t="s">
        <v>30</v>
      </c>
      <c r="C24">
        <f>142+67+164</f>
        <v>373</v>
      </c>
      <c r="D24">
        <f>246+187+288</f>
        <v>721</v>
      </c>
      <c r="E24">
        <f>240+179+215</f>
        <v>634</v>
      </c>
      <c r="F24">
        <f>245+205+185</f>
        <v>635</v>
      </c>
      <c r="G24">
        <f>241+226+144</f>
        <v>611</v>
      </c>
      <c r="H24">
        <f>479+607+139</f>
        <v>1225</v>
      </c>
      <c r="I24">
        <f>239+105</f>
        <v>344</v>
      </c>
      <c r="J24">
        <f>688+91</f>
        <v>779</v>
      </c>
      <c r="K24" s="4">
        <f t="shared" si="0"/>
        <v>5322</v>
      </c>
    </row>
    <row r="25" spans="1:11" x14ac:dyDescent="0.35">
      <c r="A25" s="1"/>
      <c r="B25" s="2" t="s">
        <v>12</v>
      </c>
      <c r="C25" s="4">
        <f>SUM(C6:C24)</f>
        <v>6006.87</v>
      </c>
      <c r="D25" s="4">
        <f t="shared" ref="D25:J25" si="1">SUM(D6:D24)</f>
        <v>11802.88</v>
      </c>
      <c r="E25" s="4">
        <f t="shared" si="1"/>
        <v>9539.39</v>
      </c>
      <c r="F25" s="4">
        <f t="shared" si="1"/>
        <v>9745.85</v>
      </c>
      <c r="G25" s="4">
        <f t="shared" si="1"/>
        <v>12357.879999999997</v>
      </c>
      <c r="H25" s="4">
        <f t="shared" si="1"/>
        <v>11322.27</v>
      </c>
      <c r="I25" s="4">
        <f t="shared" si="1"/>
        <v>8117.94</v>
      </c>
      <c r="J25" s="4">
        <f t="shared" si="1"/>
        <v>2420.0300000000007</v>
      </c>
      <c r="K25" s="4">
        <f t="shared" si="0"/>
        <v>71313.11</v>
      </c>
    </row>
    <row r="26" spans="1:11" x14ac:dyDescent="0.35">
      <c r="A26" s="1"/>
    </row>
    <row r="27" spans="1:11" x14ac:dyDescent="0.35">
      <c r="A27" t="s">
        <v>31</v>
      </c>
    </row>
    <row r="29" spans="1:11" x14ac:dyDescent="0.35">
      <c r="A29" s="4"/>
    </row>
    <row r="30" spans="1:11" x14ac:dyDescent="0.35">
      <c r="A30" s="4"/>
    </row>
    <row r="34" spans="1:2" x14ac:dyDescent="0.35">
      <c r="A34" s="3"/>
      <c r="B34" s="4"/>
    </row>
    <row r="35" spans="1:2" x14ac:dyDescent="0.35">
      <c r="A35" s="3"/>
      <c r="B35" s="4"/>
    </row>
    <row r="36" spans="1:2" x14ac:dyDescent="0.35">
      <c r="A36" s="3"/>
      <c r="B36" s="4"/>
    </row>
    <row r="37" spans="1:2" x14ac:dyDescent="0.35">
      <c r="A37" s="3"/>
      <c r="B37" s="4"/>
    </row>
    <row r="38" spans="1:2" x14ac:dyDescent="0.35">
      <c r="A38" s="5"/>
      <c r="B38" s="4"/>
    </row>
    <row r="39" spans="1:2" x14ac:dyDescent="0.35">
      <c r="A39" s="5"/>
      <c r="B39" s="4"/>
    </row>
    <row r="40" spans="1:2" x14ac:dyDescent="0.35">
      <c r="A40" s="5"/>
      <c r="B40" s="4"/>
    </row>
    <row r="41" spans="1:2" x14ac:dyDescent="0.35">
      <c r="A41" s="3"/>
      <c r="B41" s="4"/>
    </row>
    <row r="42" spans="1:2" x14ac:dyDescent="0.35">
      <c r="A42" s="3"/>
      <c r="B42" s="4"/>
    </row>
    <row r="43" spans="1:2" x14ac:dyDescent="0.35">
      <c r="A43" s="3"/>
      <c r="B43" s="4"/>
    </row>
    <row r="44" spans="1:2" x14ac:dyDescent="0.35">
      <c r="A44" s="3"/>
      <c r="B44" s="4"/>
    </row>
    <row r="45" spans="1:2" x14ac:dyDescent="0.35">
      <c r="A45" s="3"/>
      <c r="B45" s="4"/>
    </row>
    <row r="46" spans="1:2" x14ac:dyDescent="0.35">
      <c r="A46" s="3"/>
      <c r="B46" s="4"/>
    </row>
    <row r="47" spans="1:2" x14ac:dyDescent="0.35">
      <c r="A47" s="3"/>
      <c r="B47" s="4"/>
    </row>
    <row r="48" spans="1:2" x14ac:dyDescent="0.35">
      <c r="A48" s="3"/>
      <c r="B48" s="4"/>
    </row>
    <row r="49" spans="1:2" x14ac:dyDescent="0.35">
      <c r="A49" s="3"/>
      <c r="B49" s="4"/>
    </row>
    <row r="50" spans="1:2" x14ac:dyDescent="0.35">
      <c r="A50" s="3"/>
      <c r="B50" s="4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636A1-11EE-49FE-8CC1-43ED09653A7C}">
  <dimension ref="A1:K50"/>
  <sheetViews>
    <sheetView workbookViewId="0">
      <selection sqref="A1:J1"/>
    </sheetView>
  </sheetViews>
  <sheetFormatPr baseColWidth="10" defaultRowHeight="14.5" x14ac:dyDescent="0.35"/>
  <cols>
    <col min="2" max="2" width="49.1796875" customWidth="1"/>
    <col min="10" max="10" width="13.54296875" customWidth="1"/>
  </cols>
  <sheetData>
    <row r="1" spans="1:11" x14ac:dyDescent="0.35">
      <c r="A1" s="6" t="s">
        <v>41</v>
      </c>
      <c r="B1" s="7"/>
      <c r="C1" s="7"/>
      <c r="D1" s="7"/>
      <c r="E1" s="7"/>
      <c r="F1" s="7"/>
      <c r="G1" s="7"/>
      <c r="H1" s="7"/>
      <c r="I1" s="7"/>
      <c r="J1" s="8"/>
    </row>
    <row r="3" spans="1:11" x14ac:dyDescent="0.35">
      <c r="A3" s="4"/>
    </row>
    <row r="5" spans="1:11" x14ac:dyDescent="0.3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</row>
    <row r="6" spans="1:11" x14ac:dyDescent="0.35">
      <c r="A6" s="3">
        <v>1</v>
      </c>
      <c r="B6" s="4" t="s">
        <v>13</v>
      </c>
      <c r="C6">
        <f>12+1</f>
        <v>13</v>
      </c>
      <c r="D6">
        <f>1+9</f>
        <v>10</v>
      </c>
      <c r="E6">
        <f>11+11</f>
        <v>22</v>
      </c>
      <c r="F6">
        <v>4</v>
      </c>
      <c r="G6">
        <v>2</v>
      </c>
      <c r="H6">
        <v>2</v>
      </c>
      <c r="I6">
        <v>2</v>
      </c>
      <c r="J6">
        <v>0</v>
      </c>
      <c r="K6" s="4">
        <f>SUM(C6:J6)</f>
        <v>55</v>
      </c>
    </row>
    <row r="7" spans="1:11" x14ac:dyDescent="0.35">
      <c r="A7" s="3">
        <v>2</v>
      </c>
      <c r="B7" s="4" t="s">
        <v>14</v>
      </c>
      <c r="C7">
        <f>6+7</f>
        <v>13</v>
      </c>
      <c r="D7">
        <f>3+6</f>
        <v>9</v>
      </c>
      <c r="E7">
        <v>8</v>
      </c>
      <c r="F7">
        <v>8</v>
      </c>
      <c r="G7">
        <v>10</v>
      </c>
      <c r="H7">
        <v>1</v>
      </c>
      <c r="I7">
        <v>0</v>
      </c>
      <c r="J7">
        <v>0</v>
      </c>
      <c r="K7" s="4">
        <f t="shared" ref="K7:K23" si="0">SUM(C7:J7)</f>
        <v>49</v>
      </c>
    </row>
    <row r="8" spans="1:11" x14ac:dyDescent="0.35">
      <c r="A8" s="3">
        <v>3</v>
      </c>
      <c r="B8" s="4" t="s">
        <v>15</v>
      </c>
      <c r="C8">
        <v>13</v>
      </c>
      <c r="D8">
        <f>36+34</f>
        <v>70</v>
      </c>
      <c r="E8">
        <f>6+13</f>
        <v>19</v>
      </c>
      <c r="F8">
        <f>14+7</f>
        <v>21</v>
      </c>
      <c r="G8">
        <f>24+4</f>
        <v>28</v>
      </c>
      <c r="H8">
        <v>26</v>
      </c>
      <c r="I8">
        <v>4</v>
      </c>
      <c r="J8">
        <v>3</v>
      </c>
      <c r="K8" s="4">
        <f t="shared" si="0"/>
        <v>184</v>
      </c>
    </row>
    <row r="9" spans="1:11" x14ac:dyDescent="0.35">
      <c r="A9" s="3">
        <v>4</v>
      </c>
      <c r="B9" s="4" t="s">
        <v>16</v>
      </c>
      <c r="C9">
        <v>10</v>
      </c>
      <c r="D9">
        <f>9+31</f>
        <v>40</v>
      </c>
      <c r="E9">
        <f>15+24</f>
        <v>39</v>
      </c>
      <c r="F9">
        <f>14+12</f>
        <v>26</v>
      </c>
      <c r="G9">
        <v>15</v>
      </c>
      <c r="H9">
        <v>10</v>
      </c>
      <c r="I9">
        <v>9</v>
      </c>
      <c r="J9">
        <v>3</v>
      </c>
      <c r="K9" s="4">
        <f t="shared" si="0"/>
        <v>152</v>
      </c>
    </row>
    <row r="10" spans="1:11" x14ac:dyDescent="0.35">
      <c r="A10" s="3">
        <v>5</v>
      </c>
      <c r="B10" s="4" t="s">
        <v>17</v>
      </c>
      <c r="C10">
        <v>4</v>
      </c>
      <c r="D10">
        <f>9+57</f>
        <v>66</v>
      </c>
      <c r="E10">
        <f>10+22</f>
        <v>32</v>
      </c>
      <c r="F10">
        <f>9+10</f>
        <v>19</v>
      </c>
      <c r="G10">
        <f>14+8</f>
        <v>22</v>
      </c>
      <c r="H10">
        <v>6</v>
      </c>
      <c r="K10" s="4">
        <f t="shared" si="0"/>
        <v>149</v>
      </c>
    </row>
    <row r="11" spans="1:11" x14ac:dyDescent="0.35">
      <c r="A11" s="5">
        <v>6</v>
      </c>
      <c r="B11" s="4" t="s">
        <v>18</v>
      </c>
      <c r="C11">
        <f>20+90</f>
        <v>110</v>
      </c>
      <c r="D11">
        <f>20+90</f>
        <v>110</v>
      </c>
      <c r="E11">
        <f>10+29</f>
        <v>39</v>
      </c>
      <c r="F11">
        <f>6+19</f>
        <v>25</v>
      </c>
      <c r="G11">
        <f>19+12</f>
        <v>31</v>
      </c>
      <c r="H11">
        <v>5</v>
      </c>
      <c r="I11">
        <v>0</v>
      </c>
      <c r="J11">
        <v>0</v>
      </c>
      <c r="K11" s="4">
        <f t="shared" si="0"/>
        <v>320</v>
      </c>
    </row>
    <row r="12" spans="1:11" x14ac:dyDescent="0.35">
      <c r="A12" s="5"/>
      <c r="B12" s="4" t="s">
        <v>19</v>
      </c>
      <c r="C12">
        <f>14+27</f>
        <v>41</v>
      </c>
      <c r="D12">
        <f>43+229</f>
        <v>272</v>
      </c>
      <c r="E12">
        <f>42+84</f>
        <v>126</v>
      </c>
      <c r="F12">
        <f>14+30</f>
        <v>44</v>
      </c>
      <c r="G12">
        <f>18+22</f>
        <v>40</v>
      </c>
      <c r="H12">
        <v>12</v>
      </c>
      <c r="I12">
        <v>3</v>
      </c>
      <c r="J12">
        <v>0</v>
      </c>
      <c r="K12" s="4">
        <f t="shared" si="0"/>
        <v>538</v>
      </c>
    </row>
    <row r="13" spans="1:11" x14ac:dyDescent="0.35">
      <c r="A13" s="3"/>
      <c r="B13" s="4" t="s">
        <v>20</v>
      </c>
      <c r="C13">
        <f>87+364</f>
        <v>451</v>
      </c>
      <c r="D13">
        <f>29+360</f>
        <v>389</v>
      </c>
      <c r="E13">
        <f>24+103</f>
        <v>127</v>
      </c>
      <c r="F13">
        <f>28+58</f>
        <v>86</v>
      </c>
      <c r="G13">
        <f>77+85</f>
        <v>162</v>
      </c>
      <c r="H13">
        <f>23+5</f>
        <v>28</v>
      </c>
      <c r="I13">
        <v>4</v>
      </c>
      <c r="J13">
        <v>0</v>
      </c>
      <c r="K13" s="4">
        <f t="shared" si="0"/>
        <v>1247</v>
      </c>
    </row>
    <row r="14" spans="1:11" x14ac:dyDescent="0.35">
      <c r="A14" s="3">
        <v>7</v>
      </c>
      <c r="B14" s="4" t="s">
        <v>21</v>
      </c>
      <c r="C14">
        <f>8+21</f>
        <v>29</v>
      </c>
      <c r="D14">
        <f>25+102</f>
        <v>127</v>
      </c>
      <c r="E14">
        <f>13+23</f>
        <v>36</v>
      </c>
      <c r="F14">
        <f>11+12</f>
        <v>23</v>
      </c>
      <c r="G14">
        <f>26+19</f>
        <v>45</v>
      </c>
      <c r="H14">
        <v>13</v>
      </c>
      <c r="I14">
        <v>1</v>
      </c>
      <c r="K14" s="4">
        <f t="shared" si="0"/>
        <v>274</v>
      </c>
    </row>
    <row r="15" spans="1:11" x14ac:dyDescent="0.35">
      <c r="A15" s="3">
        <v>8</v>
      </c>
      <c r="B15" s="4" t="s">
        <v>22</v>
      </c>
      <c r="C15">
        <f>7+18</f>
        <v>25</v>
      </c>
      <c r="D15">
        <f>8+37</f>
        <v>45</v>
      </c>
      <c r="E15">
        <f>4+25</f>
        <v>29</v>
      </c>
      <c r="F15">
        <v>5</v>
      </c>
      <c r="G15">
        <f>7+11</f>
        <v>18</v>
      </c>
      <c r="H15">
        <v>2</v>
      </c>
      <c r="I15">
        <v>0</v>
      </c>
      <c r="J15">
        <v>0</v>
      </c>
      <c r="K15" s="4">
        <f t="shared" si="0"/>
        <v>124</v>
      </c>
    </row>
    <row r="16" spans="1:11" x14ac:dyDescent="0.35">
      <c r="A16" s="3">
        <v>9</v>
      </c>
      <c r="B16" s="4" t="s">
        <v>23</v>
      </c>
      <c r="C16">
        <f>9+3</f>
        <v>12</v>
      </c>
      <c r="D16">
        <f>13+24</f>
        <v>37</v>
      </c>
      <c r="E16">
        <v>21</v>
      </c>
      <c r="F16">
        <v>3</v>
      </c>
      <c r="G16">
        <v>7</v>
      </c>
      <c r="H16">
        <v>3</v>
      </c>
      <c r="I16">
        <v>0</v>
      </c>
      <c r="J16">
        <v>1</v>
      </c>
      <c r="K16" s="4">
        <f t="shared" si="0"/>
        <v>84</v>
      </c>
    </row>
    <row r="17" spans="1:11" x14ac:dyDescent="0.35">
      <c r="A17" s="5">
        <v>11</v>
      </c>
      <c r="B17" s="4" t="s">
        <v>24</v>
      </c>
      <c r="C17">
        <v>4</v>
      </c>
      <c r="D17">
        <v>7</v>
      </c>
      <c r="E17">
        <v>10</v>
      </c>
      <c r="F17">
        <v>4</v>
      </c>
      <c r="G17">
        <v>6</v>
      </c>
      <c r="H17">
        <v>2</v>
      </c>
      <c r="I17">
        <v>1</v>
      </c>
      <c r="J17">
        <v>1</v>
      </c>
      <c r="K17" s="4">
        <f t="shared" si="0"/>
        <v>35</v>
      </c>
    </row>
    <row r="18" spans="1:11" x14ac:dyDescent="0.35">
      <c r="A18" s="3"/>
      <c r="B18" s="4" t="s">
        <v>25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 s="4">
        <f t="shared" si="0"/>
        <v>0</v>
      </c>
    </row>
    <row r="19" spans="1:11" x14ac:dyDescent="0.35">
      <c r="A19" s="3">
        <v>12</v>
      </c>
      <c r="B19" s="4" t="s">
        <v>26</v>
      </c>
      <c r="C19">
        <f>8+12</f>
        <v>20</v>
      </c>
      <c r="D19">
        <f>15+75</f>
        <v>90</v>
      </c>
      <c r="E19">
        <f>14+23</f>
        <v>37</v>
      </c>
      <c r="F19">
        <f>19+14</f>
        <v>33</v>
      </c>
      <c r="G19">
        <f>23+14</f>
        <v>37</v>
      </c>
      <c r="H19">
        <v>16</v>
      </c>
      <c r="I19">
        <v>5</v>
      </c>
      <c r="J19">
        <v>2</v>
      </c>
      <c r="K19" s="4">
        <f t="shared" si="0"/>
        <v>240</v>
      </c>
    </row>
    <row r="20" spans="1:11" x14ac:dyDescent="0.35">
      <c r="A20" s="3">
        <v>13</v>
      </c>
      <c r="B20" s="4" t="s">
        <v>27</v>
      </c>
      <c r="C20">
        <f>10+23</f>
        <v>33</v>
      </c>
      <c r="D20">
        <f>10+62</f>
        <v>72</v>
      </c>
      <c r="E20">
        <f>9+21</f>
        <v>30</v>
      </c>
      <c r="F20">
        <f>14+15</f>
        <v>29</v>
      </c>
      <c r="G20">
        <f>18+6</f>
        <v>24</v>
      </c>
      <c r="H20">
        <v>9</v>
      </c>
      <c r="I20">
        <v>4</v>
      </c>
      <c r="J20">
        <v>0</v>
      </c>
      <c r="K20" s="4">
        <f t="shared" si="0"/>
        <v>201</v>
      </c>
    </row>
    <row r="21" spans="1:11" x14ac:dyDescent="0.35">
      <c r="A21" s="3">
        <v>14</v>
      </c>
      <c r="B21" s="4" t="s">
        <v>28</v>
      </c>
      <c r="C21">
        <f>9+14</f>
        <v>23</v>
      </c>
      <c r="D21">
        <f>19+122</f>
        <v>141</v>
      </c>
      <c r="E21">
        <f>19+66</f>
        <v>85</v>
      </c>
      <c r="F21">
        <f>9+17</f>
        <v>26</v>
      </c>
      <c r="G21">
        <f>10+13</f>
        <v>23</v>
      </c>
      <c r="H21">
        <v>3</v>
      </c>
      <c r="I21">
        <v>0</v>
      </c>
      <c r="J21">
        <v>0</v>
      </c>
      <c r="K21" s="4">
        <f t="shared" si="0"/>
        <v>301</v>
      </c>
    </row>
    <row r="22" spans="1:11" x14ac:dyDescent="0.35">
      <c r="A22" s="3">
        <v>15</v>
      </c>
      <c r="B22" s="4" t="s">
        <v>29</v>
      </c>
      <c r="C22">
        <f>8+8</f>
        <v>16</v>
      </c>
      <c r="D22">
        <f>3+44</f>
        <v>47</v>
      </c>
      <c r="E22">
        <f>3+17</f>
        <v>20</v>
      </c>
      <c r="F22">
        <f>11+6</f>
        <v>17</v>
      </c>
      <c r="G22">
        <f>11+12</f>
        <v>23</v>
      </c>
      <c r="H22">
        <v>3</v>
      </c>
      <c r="I22">
        <v>1</v>
      </c>
      <c r="J22">
        <v>0</v>
      </c>
      <c r="K22" s="4">
        <f t="shared" si="0"/>
        <v>127</v>
      </c>
    </row>
    <row r="23" spans="1:11" x14ac:dyDescent="0.35">
      <c r="A23" s="3">
        <v>16</v>
      </c>
      <c r="B23" s="4" t="s">
        <v>30</v>
      </c>
      <c r="C23">
        <f>6+119</f>
        <v>125</v>
      </c>
      <c r="D23">
        <f>25+592</f>
        <v>617</v>
      </c>
      <c r="E23">
        <f>20+190</f>
        <v>210</v>
      </c>
      <c r="F23">
        <f>16+34</f>
        <v>50</v>
      </c>
      <c r="G23">
        <f>52+29</f>
        <v>81</v>
      </c>
      <c r="H23">
        <f>31+6</f>
        <v>37</v>
      </c>
      <c r="I23">
        <v>3</v>
      </c>
      <c r="J23">
        <v>1</v>
      </c>
      <c r="K23" s="4">
        <f t="shared" si="0"/>
        <v>1124</v>
      </c>
    </row>
    <row r="24" spans="1:11" x14ac:dyDescent="0.35">
      <c r="B24" s="2" t="s">
        <v>12</v>
      </c>
      <c r="C24" s="4">
        <f>SUM(C6:C23)</f>
        <v>942</v>
      </c>
      <c r="D24" s="4">
        <f t="shared" ref="D24:K24" si="1">SUM(D6:D23)</f>
        <v>2149</v>
      </c>
      <c r="E24" s="4">
        <f t="shared" si="1"/>
        <v>890</v>
      </c>
      <c r="F24" s="4">
        <f t="shared" si="1"/>
        <v>423</v>
      </c>
      <c r="G24" s="4">
        <f t="shared" si="1"/>
        <v>574</v>
      </c>
      <c r="H24" s="4">
        <f t="shared" si="1"/>
        <v>178</v>
      </c>
      <c r="I24" s="4">
        <f t="shared" si="1"/>
        <v>37</v>
      </c>
      <c r="J24" s="4">
        <f t="shared" si="1"/>
        <v>11</v>
      </c>
      <c r="K24" s="4">
        <f t="shared" si="1"/>
        <v>5204</v>
      </c>
    </row>
    <row r="26" spans="1:11" x14ac:dyDescent="0.35">
      <c r="A26" t="s">
        <v>31</v>
      </c>
    </row>
    <row r="28" spans="1:11" x14ac:dyDescent="0.35">
      <c r="A28" s="4"/>
    </row>
    <row r="31" spans="1:11" x14ac:dyDescent="0.35">
      <c r="A31" s="3"/>
      <c r="B31" s="4"/>
    </row>
    <row r="32" spans="1:11" x14ac:dyDescent="0.35">
      <c r="A32" s="3"/>
      <c r="B32" s="4"/>
    </row>
    <row r="33" spans="1:2" x14ac:dyDescent="0.35">
      <c r="A33" s="3"/>
      <c r="B33" s="4"/>
    </row>
    <row r="34" spans="1:2" x14ac:dyDescent="0.35">
      <c r="A34" s="3"/>
      <c r="B34" s="4"/>
    </row>
    <row r="35" spans="1:2" x14ac:dyDescent="0.35">
      <c r="A35" s="3"/>
      <c r="B35" s="4"/>
    </row>
    <row r="36" spans="1:2" x14ac:dyDescent="0.35">
      <c r="A36" s="5"/>
      <c r="B36" s="4"/>
    </row>
    <row r="37" spans="1:2" x14ac:dyDescent="0.35">
      <c r="A37" s="5"/>
      <c r="B37" s="4"/>
    </row>
    <row r="38" spans="1:2" x14ac:dyDescent="0.35">
      <c r="A38" s="3"/>
      <c r="B38" s="4"/>
    </row>
    <row r="39" spans="1:2" x14ac:dyDescent="0.35">
      <c r="A39" s="3"/>
      <c r="B39" s="4"/>
    </row>
    <row r="40" spans="1:2" x14ac:dyDescent="0.35">
      <c r="A40" s="3"/>
      <c r="B40" s="4"/>
    </row>
    <row r="41" spans="1:2" x14ac:dyDescent="0.35">
      <c r="A41" s="3"/>
      <c r="B41" s="4"/>
    </row>
    <row r="42" spans="1:2" x14ac:dyDescent="0.35">
      <c r="A42" s="5"/>
      <c r="B42" s="4"/>
    </row>
    <row r="43" spans="1:2" x14ac:dyDescent="0.35">
      <c r="A43" s="3"/>
      <c r="B43" s="4"/>
    </row>
    <row r="44" spans="1:2" x14ac:dyDescent="0.35">
      <c r="A44" s="3"/>
      <c r="B44" s="4"/>
    </row>
    <row r="45" spans="1:2" x14ac:dyDescent="0.35">
      <c r="A45" s="3"/>
      <c r="B45" s="4"/>
    </row>
    <row r="46" spans="1:2" x14ac:dyDescent="0.35">
      <c r="A46" s="3"/>
      <c r="B46" s="4"/>
    </row>
    <row r="47" spans="1:2" x14ac:dyDescent="0.35">
      <c r="A47" s="3"/>
      <c r="B47" s="4"/>
    </row>
    <row r="48" spans="1:2" x14ac:dyDescent="0.35">
      <c r="A48" s="3"/>
      <c r="B48" s="4"/>
    </row>
    <row r="49" spans="1:1" x14ac:dyDescent="0.35">
      <c r="A49" s="1"/>
    </row>
    <row r="50" spans="1:1" x14ac:dyDescent="0.35">
      <c r="A50" s="1"/>
    </row>
  </sheetData>
  <mergeCells count="1">
    <mergeCell ref="A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Q1 Nbr de pers en att. éval</vt:lpstr>
      <vt:lpstr>Q2 Temps d'att. moyen</vt:lpstr>
      <vt:lpstr>Q3 Nbr pers. att. serv.1ère TSA</vt:lpstr>
      <vt:lpstr>Q4 Temps d'att. 1ère TSA</vt:lpstr>
      <vt:lpstr>Q5 Nbr pers. att. 2ième TSA</vt:lpstr>
      <vt:lpstr>Q6 Temps d'att. 2ième TSA</vt:lpstr>
      <vt:lpstr>Q7 Nbr pers. att. serv. DITSADP</vt:lpstr>
      <vt:lpstr>Q8 Temps att. serv. DITSADP</vt:lpstr>
      <vt:lpstr>Q9 Nbr pers. en att. CRDITED</vt:lpstr>
      <vt:lpstr>Q10 Temps att. CRDITED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Lisa-Marie Rannou</dc:creator>
  <cp:lastModifiedBy>Christine Lanctôt</cp:lastModifiedBy>
  <dcterms:created xsi:type="dcterms:W3CDTF">2021-08-24T15:10:10Z</dcterms:created>
  <dcterms:modified xsi:type="dcterms:W3CDTF">2021-08-25T14:55:14Z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2021-08-24T15:10:10Z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2190155a-27de-407e-a3f8-8b114886391a</vt:lpwstr>
  </property>
  <property fmtid="{D5CDD505-2E9C-101B-9397-08002B2CF9AE}" pid="8" name="MSIP_Label_6a7d8d5d-78e2-4a62-9fcd-016eb5e4c57c_ContentBits">
    <vt:lpwstr>0</vt:lpwstr>
  </property>
</Properties>
</file>